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15" yWindow="-15" windowWidth="11580" windowHeight="8265"/>
  </bookViews>
  <sheets>
    <sheet name="Line details" sheetId="1" r:id="rId1"/>
    <sheet name="Sheet1" sheetId="4" r:id="rId2"/>
    <sheet name="Line check" sheetId="2" r:id="rId3"/>
    <sheet name="Line mods" sheetId="3" r:id="rId4"/>
  </sheets>
  <definedNames>
    <definedName name="_xlnm.Print_Area" localSheetId="0">'Line details'!$A$1:$D$274</definedName>
  </definedNames>
  <calcPr calcId="114210" concurrentCalc="0"/>
</workbook>
</file>

<file path=xl/calcChain.xml><?xml version="1.0" encoding="utf-8"?>
<calcChain xmlns="http://schemas.openxmlformats.org/spreadsheetml/2006/main">
  <c r="D256" i="1"/>
  <c r="M74"/>
  <c r="L74"/>
  <c r="M73"/>
  <c r="L73"/>
  <c r="J73"/>
  <c r="L72"/>
  <c r="J72"/>
  <c r="L71"/>
  <c r="J71"/>
  <c r="L70"/>
  <c r="J70"/>
  <c r="L69"/>
  <c r="J69"/>
  <c r="K55"/>
  <c r="I55"/>
  <c r="K54"/>
  <c r="I54"/>
  <c r="M53"/>
  <c r="K53"/>
  <c r="I53"/>
  <c r="M52"/>
  <c r="K52"/>
  <c r="I52"/>
  <c r="M51"/>
  <c r="K51"/>
  <c r="I51"/>
  <c r="M50"/>
  <c r="K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K36"/>
  <c r="K74"/>
  <c r="I36"/>
  <c r="I74"/>
  <c r="K35"/>
  <c r="K73"/>
  <c r="I35"/>
  <c r="I73"/>
  <c r="M34"/>
  <c r="M72"/>
  <c r="K34"/>
  <c r="K72"/>
  <c r="I34"/>
  <c r="I72"/>
  <c r="M33"/>
  <c r="M71"/>
  <c r="K33"/>
  <c r="K71"/>
  <c r="I33"/>
  <c r="I71"/>
  <c r="M32"/>
  <c r="M70"/>
  <c r="K32"/>
  <c r="K70"/>
  <c r="I32"/>
  <c r="I70"/>
  <c r="M31"/>
  <c r="M69"/>
  <c r="K31"/>
  <c r="K69"/>
  <c r="I31"/>
  <c r="I69"/>
  <c r="M30"/>
  <c r="M68"/>
  <c r="L30"/>
  <c r="L68"/>
  <c r="K30"/>
  <c r="K68"/>
  <c r="J30"/>
  <c r="J68"/>
  <c r="I30"/>
  <c r="I68"/>
  <c r="M29"/>
  <c r="M67"/>
  <c r="L29"/>
  <c r="L67"/>
  <c r="K29"/>
  <c r="K67"/>
  <c r="J29"/>
  <c r="J67"/>
  <c r="I29"/>
  <c r="I67"/>
  <c r="M28"/>
  <c r="M66"/>
  <c r="L28"/>
  <c r="L66"/>
  <c r="K28"/>
  <c r="K66"/>
  <c r="J28"/>
  <c r="J66"/>
  <c r="I28"/>
  <c r="I66"/>
  <c r="M27"/>
  <c r="M65"/>
  <c r="L27"/>
  <c r="L65"/>
  <c r="K27"/>
  <c r="K65"/>
  <c r="J27"/>
  <c r="J65"/>
  <c r="I27"/>
  <c r="I65"/>
  <c r="M26"/>
  <c r="M64"/>
  <c r="L26"/>
  <c r="L64"/>
  <c r="K26"/>
  <c r="K64"/>
  <c r="J26"/>
  <c r="J64"/>
  <c r="I26"/>
  <c r="I64"/>
  <c r="M25"/>
  <c r="M63"/>
  <c r="L25"/>
  <c r="L63"/>
  <c r="K25"/>
  <c r="K63"/>
  <c r="J25"/>
  <c r="J63"/>
  <c r="I25"/>
  <c r="I63"/>
  <c r="M24"/>
  <c r="M62"/>
  <c r="L24"/>
  <c r="L62"/>
  <c r="K24"/>
  <c r="K62"/>
  <c r="J24"/>
  <c r="J62"/>
  <c r="I24"/>
  <c r="I62"/>
  <c r="M23"/>
  <c r="M61"/>
  <c r="L23"/>
  <c r="L61"/>
  <c r="K23"/>
  <c r="K61"/>
  <c r="J23"/>
  <c r="J61"/>
  <c r="I23"/>
  <c r="I61"/>
  <c r="B22" i="4"/>
  <c r="B20"/>
  <c r="B19"/>
  <c r="B17"/>
  <c r="B16"/>
  <c r="B14"/>
  <c r="B11"/>
  <c r="C11"/>
  <c r="B12"/>
  <c r="C12"/>
  <c r="A13"/>
  <c r="B13"/>
  <c r="C13"/>
  <c r="B8"/>
  <c r="C8"/>
  <c r="A9"/>
  <c r="B9"/>
  <c r="C9"/>
  <c r="B10"/>
  <c r="C10"/>
  <c r="B2"/>
  <c r="C2"/>
  <c r="B3"/>
  <c r="C3"/>
  <c r="A4"/>
  <c r="B4"/>
  <c r="C4"/>
  <c r="B5"/>
  <c r="C5"/>
  <c r="B6"/>
  <c r="C6"/>
  <c r="B7"/>
  <c r="C7"/>
  <c r="F22"/>
  <c r="G22"/>
  <c r="F23"/>
  <c r="G23"/>
  <c r="B1"/>
  <c r="C1"/>
  <c r="F21"/>
  <c r="G21"/>
  <c r="F8"/>
  <c r="G8"/>
  <c r="E9"/>
  <c r="F9"/>
  <c r="G9"/>
  <c r="E10"/>
  <c r="F10"/>
  <c r="G10"/>
  <c r="E11"/>
  <c r="F11"/>
  <c r="G11"/>
  <c r="E12"/>
  <c r="F12"/>
  <c r="G12"/>
  <c r="F13"/>
  <c r="G13"/>
  <c r="F14"/>
  <c r="G14"/>
  <c r="F15"/>
  <c r="G15"/>
  <c r="F16"/>
  <c r="G16"/>
  <c r="F17"/>
  <c r="G17"/>
  <c r="F18"/>
  <c r="G18"/>
  <c r="F19"/>
  <c r="G19"/>
  <c r="E20"/>
  <c r="F20"/>
  <c r="G20"/>
  <c r="F2"/>
  <c r="G2"/>
  <c r="E3"/>
  <c r="F3"/>
  <c r="G3"/>
  <c r="F4"/>
  <c r="G4"/>
  <c r="F5"/>
  <c r="G5"/>
  <c r="F6"/>
  <c r="G6"/>
  <c r="F7"/>
  <c r="G7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F1"/>
  <c r="G1"/>
  <c r="J14"/>
  <c r="K14"/>
  <c r="J9"/>
  <c r="K9"/>
  <c r="J10"/>
  <c r="K10"/>
  <c r="J11"/>
  <c r="K11"/>
  <c r="J12"/>
  <c r="K12"/>
  <c r="I13"/>
  <c r="J13"/>
  <c r="K13"/>
  <c r="J2"/>
  <c r="K2"/>
  <c r="J3"/>
  <c r="K3"/>
  <c r="J4"/>
  <c r="K4"/>
  <c r="J5"/>
  <c r="K5"/>
  <c r="J6"/>
  <c r="K6"/>
  <c r="J7"/>
  <c r="K7"/>
  <c r="J8"/>
  <c r="K8"/>
  <c r="N20"/>
  <c r="O20"/>
  <c r="N21"/>
  <c r="O21"/>
  <c r="N22"/>
  <c r="O22"/>
  <c r="N23"/>
  <c r="O23"/>
  <c r="J1"/>
  <c r="K1"/>
  <c r="M16"/>
  <c r="N16"/>
  <c r="O16"/>
  <c r="N17"/>
  <c r="O17"/>
  <c r="N18"/>
  <c r="O18"/>
  <c r="N19"/>
  <c r="O19"/>
  <c r="N15"/>
  <c r="O15"/>
  <c r="N9"/>
  <c r="O9"/>
  <c r="N10"/>
  <c r="O10"/>
  <c r="N11"/>
  <c r="O11"/>
  <c r="N12"/>
  <c r="O12"/>
  <c r="N13"/>
  <c r="O13"/>
  <c r="M14"/>
  <c r="N14"/>
  <c r="O14"/>
  <c r="N2"/>
  <c r="O2"/>
  <c r="N3"/>
  <c r="O3"/>
  <c r="N4"/>
  <c r="O4"/>
  <c r="M5"/>
  <c r="N5"/>
  <c r="O5"/>
  <c r="N6"/>
  <c r="O6"/>
  <c r="N7"/>
  <c r="O7"/>
  <c r="N8"/>
  <c r="O8"/>
  <c r="N1"/>
  <c r="O1"/>
  <c r="R23"/>
  <c r="S23"/>
  <c r="R4"/>
  <c r="S4"/>
  <c r="R5"/>
  <c r="S5"/>
  <c r="R6"/>
  <c r="S6"/>
  <c r="R7"/>
  <c r="S7"/>
  <c r="R8"/>
  <c r="S8"/>
  <c r="R9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Q22"/>
  <c r="R22"/>
  <c r="S22"/>
  <c r="R3"/>
  <c r="S3"/>
  <c r="S1"/>
  <c r="D237" i="1"/>
  <c r="A20" i="4"/>
  <c r="D231" i="1"/>
  <c r="A17" i="4"/>
  <c r="D205" i="1"/>
  <c r="A11" i="4"/>
  <c r="D206" i="1"/>
  <c r="A12" i="4"/>
  <c r="D197" i="1"/>
  <c r="A6" i="4"/>
  <c r="D198" i="1"/>
  <c r="A7" i="4"/>
  <c r="D199" i="1"/>
  <c r="A8" i="4"/>
  <c r="D187" i="1"/>
  <c r="E22" i="4"/>
  <c r="D188" i="1"/>
  <c r="E23" i="4"/>
  <c r="D189" i="1"/>
  <c r="A1" i="4"/>
  <c r="D190" i="1"/>
  <c r="A2" i="4"/>
  <c r="D191" i="1"/>
  <c r="A3" i="4"/>
  <c r="D158" i="1"/>
  <c r="E14" i="4"/>
  <c r="D159" i="1"/>
  <c r="E15" i="4"/>
  <c r="D160" i="1"/>
  <c r="E16" i="4"/>
  <c r="D161" i="1"/>
  <c r="E17" i="4"/>
  <c r="D162" i="1"/>
  <c r="E18" i="4"/>
  <c r="D163" i="1"/>
  <c r="E19" i="4"/>
  <c r="D149" i="1"/>
  <c r="E5" i="4"/>
  <c r="D150" i="1"/>
  <c r="E6" i="4"/>
  <c r="D151" i="1"/>
  <c r="E7" i="4"/>
  <c r="D152" i="1"/>
  <c r="E8" i="4"/>
  <c r="D143" i="1"/>
  <c r="E2" i="4"/>
  <c r="D133" i="1"/>
  <c r="I15" i="4"/>
  <c r="D134" i="1"/>
  <c r="I16" i="4"/>
  <c r="D135" i="1"/>
  <c r="I17" i="4"/>
  <c r="D136" i="1"/>
  <c r="I18" i="4"/>
  <c r="D137" i="1"/>
  <c r="I19" i="4"/>
  <c r="D138" i="1"/>
  <c r="I20" i="4"/>
  <c r="D139" i="1"/>
  <c r="I21" i="4"/>
  <c r="D140" i="1"/>
  <c r="I22" i="4"/>
  <c r="D141" i="1"/>
  <c r="I23" i="4"/>
  <c r="D142" i="1"/>
  <c r="E1" i="4"/>
  <c r="D95" i="1"/>
  <c r="M18" i="4"/>
  <c r="D96" i="1"/>
  <c r="M19" i="4"/>
  <c r="D97" i="1"/>
  <c r="M20" i="4"/>
  <c r="D98" i="1"/>
  <c r="M21" i="4"/>
  <c r="D99" i="1"/>
  <c r="M22" i="4"/>
  <c r="D100" i="1"/>
  <c r="M23" i="4"/>
  <c r="D101" i="1"/>
  <c r="I1" i="4"/>
  <c r="D102" i="1"/>
  <c r="I2" i="4"/>
  <c r="D103" i="1"/>
  <c r="I3" i="4"/>
  <c r="D104" i="1"/>
  <c r="I4" i="4"/>
  <c r="D105" i="1"/>
  <c r="I5" i="4"/>
  <c r="D106" i="1"/>
  <c r="I6" i="4"/>
  <c r="D107" i="1"/>
  <c r="I7" i="4"/>
  <c r="D108" i="1"/>
  <c r="I8" i="4"/>
  <c r="D109" i="1"/>
  <c r="I9" i="4"/>
  <c r="D110" i="1"/>
  <c r="I10" i="4"/>
  <c r="D111" i="1"/>
  <c r="I11" i="4"/>
  <c r="D112" i="1"/>
  <c r="I12" i="4"/>
  <c r="D67" i="1"/>
  <c r="M7" i="4"/>
  <c r="D68" i="1"/>
  <c r="M8" i="4"/>
  <c r="D69" i="1"/>
  <c r="M9" i="4"/>
  <c r="D70" i="1"/>
  <c r="M10" i="4"/>
  <c r="D71" i="1"/>
  <c r="M11" i="4"/>
  <c r="D72" i="1"/>
  <c r="M12" i="4"/>
  <c r="D73" i="1"/>
  <c r="M13" i="4"/>
  <c r="D59" i="1"/>
  <c r="M1" i="4"/>
  <c r="D60" i="1"/>
  <c r="M2" i="4"/>
  <c r="D61" i="1"/>
  <c r="M3" i="4"/>
  <c r="D62" i="1"/>
  <c r="M4" i="4"/>
  <c r="D37" i="1"/>
  <c r="Q4" i="4"/>
  <c r="D38" i="1"/>
  <c r="Q5" i="4"/>
  <c r="D39" i="1"/>
  <c r="Q6" i="4"/>
  <c r="D40" i="1"/>
  <c r="Q7" i="4"/>
  <c r="D41" i="1"/>
  <c r="Q8" i="4"/>
  <c r="D42" i="1"/>
  <c r="Q9" i="4"/>
  <c r="D43" i="1"/>
  <c r="Q10" i="4"/>
  <c r="D44" i="1"/>
  <c r="Q11" i="4"/>
  <c r="D45" i="1"/>
  <c r="Q12" i="4"/>
  <c r="D46" i="1"/>
  <c r="Q13" i="4"/>
  <c r="D47" i="1"/>
  <c r="Q14" i="4"/>
  <c r="D48" i="1"/>
  <c r="Q15" i="4"/>
  <c r="D49" i="1"/>
  <c r="Q16" i="4"/>
  <c r="D50" i="1"/>
  <c r="Q17" i="4"/>
  <c r="D51" i="1"/>
  <c r="Q18" i="4"/>
  <c r="D52" i="1"/>
  <c r="Q19" i="4"/>
  <c r="D53" i="1"/>
  <c r="Q20" i="4"/>
  <c r="D54" i="1"/>
  <c r="Q21" i="4"/>
  <c r="A22"/>
  <c r="D236" i="1"/>
  <c r="A19" i="4"/>
  <c r="D230" i="1"/>
  <c r="A16" i="4"/>
  <c r="D225" i="1"/>
  <c r="A14" i="4"/>
  <c r="D204" i="1"/>
  <c r="A10" i="4"/>
  <c r="D186" i="1"/>
  <c r="E21" i="4"/>
  <c r="D196" i="1"/>
  <c r="A5" i="4"/>
  <c r="D157" i="1"/>
  <c r="E13" i="4"/>
  <c r="D148" i="1"/>
  <c r="E4" i="4"/>
  <c r="D132" i="1"/>
  <c r="I14" i="4"/>
  <c r="D94" i="1"/>
  <c r="M17" i="4"/>
  <c r="D90" i="1"/>
  <c r="M15" i="4"/>
  <c r="D66" i="1"/>
  <c r="M6" i="4"/>
  <c r="D58" i="1"/>
  <c r="Q23" i="4"/>
  <c r="D36" i="1"/>
  <c r="Q3" i="4"/>
  <c r="C16" i="1"/>
  <c r="D16"/>
  <c r="Q1" i="4"/>
  <c r="C22" i="2"/>
  <c r="B22"/>
  <c r="H21"/>
  <c r="C21"/>
  <c r="B21"/>
  <c r="H20"/>
  <c r="C20"/>
  <c r="B20"/>
  <c r="C19"/>
  <c r="B19"/>
  <c r="H18"/>
  <c r="C18"/>
  <c r="B18"/>
  <c r="H17"/>
  <c r="C17"/>
  <c r="B17"/>
  <c r="H16"/>
  <c r="E16"/>
  <c r="D16"/>
  <c r="C16"/>
  <c r="B16"/>
  <c r="H15"/>
  <c r="E15"/>
  <c r="D15"/>
  <c r="C15"/>
  <c r="B15"/>
  <c r="H14"/>
  <c r="E14"/>
  <c r="D14"/>
  <c r="C14"/>
  <c r="B14"/>
  <c r="H13"/>
  <c r="E13"/>
  <c r="D13"/>
  <c r="C13"/>
  <c r="B13"/>
  <c r="H12"/>
  <c r="E12"/>
  <c r="D12"/>
  <c r="C12"/>
  <c r="B12"/>
  <c r="H11"/>
  <c r="E11"/>
  <c r="D11"/>
  <c r="C11"/>
  <c r="B11"/>
  <c r="H10"/>
  <c r="E10"/>
  <c r="D10"/>
  <c r="C10"/>
  <c r="B10"/>
  <c r="H9"/>
  <c r="E9"/>
  <c r="D9"/>
  <c r="C9"/>
  <c r="B9"/>
</calcChain>
</file>

<file path=xl/sharedStrings.xml><?xml version="1.0" encoding="utf-8"?>
<sst xmlns="http://schemas.openxmlformats.org/spreadsheetml/2006/main" count="574" uniqueCount="198">
  <si>
    <t>Suspension line details</t>
  </si>
  <si>
    <t>Prototype</t>
  </si>
  <si>
    <t>Zeno_XS</t>
  </si>
  <si>
    <t>Export name</t>
  </si>
  <si>
    <t>Name</t>
  </si>
  <si>
    <t>No.</t>
  </si>
  <si>
    <t>Sewn</t>
  </si>
  <si>
    <t>KRL</t>
  </si>
  <si>
    <t>AM4</t>
  </si>
  <si>
    <t>AM5</t>
  </si>
  <si>
    <t>A4</t>
  </si>
  <si>
    <t>A1</t>
  </si>
  <si>
    <t>KRU</t>
  </si>
  <si>
    <t>AM3</t>
  </si>
  <si>
    <t>AML1</t>
  </si>
  <si>
    <t>B7</t>
  </si>
  <si>
    <t>B6</t>
  </si>
  <si>
    <t>B8</t>
  </si>
  <si>
    <t>B5</t>
  </si>
  <si>
    <t>C8</t>
  </si>
  <si>
    <t>C7</t>
  </si>
  <si>
    <t>C6</t>
  </si>
  <si>
    <t>C5</t>
  </si>
  <si>
    <t>B4</t>
  </si>
  <si>
    <t>B3</t>
  </si>
  <si>
    <t>C4</t>
  </si>
  <si>
    <t>C3</t>
  </si>
  <si>
    <t>B2</t>
  </si>
  <si>
    <t>C2</t>
  </si>
  <si>
    <t>B1</t>
  </si>
  <si>
    <t>C1</t>
  </si>
  <si>
    <t>A10</t>
  </si>
  <si>
    <t>B10</t>
  </si>
  <si>
    <t>B9</t>
  </si>
  <si>
    <t>BM5</t>
  </si>
  <si>
    <t>BMU6</t>
  </si>
  <si>
    <t>BMU2</t>
  </si>
  <si>
    <t>BMU3</t>
  </si>
  <si>
    <t>A11</t>
  </si>
  <si>
    <t>B11</t>
  </si>
  <si>
    <t>KML2</t>
  </si>
  <si>
    <t>KML3</t>
  </si>
  <si>
    <t>KML1</t>
  </si>
  <si>
    <t>AML2</t>
  </si>
  <si>
    <t>BRU3</t>
  </si>
  <si>
    <t>A8b</t>
  </si>
  <si>
    <t>A8a</t>
  </si>
  <si>
    <t>A7a</t>
  </si>
  <si>
    <t>A6a</t>
  </si>
  <si>
    <t>BM4</t>
  </si>
  <si>
    <t>BMU1</t>
  </si>
  <si>
    <t>A7</t>
  </si>
  <si>
    <t>BMU4</t>
  </si>
  <si>
    <t>A9</t>
  </si>
  <si>
    <t>A5b</t>
  </si>
  <si>
    <t>A1b</t>
  </si>
  <si>
    <t>A4a</t>
  </si>
  <si>
    <t>A3a</t>
  </si>
  <si>
    <t>A2a</t>
  </si>
  <si>
    <t>A5a</t>
  </si>
  <si>
    <t>A1a</t>
  </si>
  <si>
    <t>A6</t>
  </si>
  <si>
    <t>BM3</t>
  </si>
  <si>
    <t>A8</t>
  </si>
  <si>
    <t>A5</t>
  </si>
  <si>
    <t>A3</t>
  </si>
  <si>
    <t>A2</t>
  </si>
  <si>
    <t>A14</t>
  </si>
  <si>
    <t>B14</t>
  </si>
  <si>
    <t>AM6</t>
  </si>
  <si>
    <t>K11</t>
  </si>
  <si>
    <t>K9</t>
  </si>
  <si>
    <t>K7</t>
  </si>
  <si>
    <t>K6</t>
  </si>
  <si>
    <t>K10</t>
  </si>
  <si>
    <t>K2</t>
  </si>
  <si>
    <t>K4</t>
  </si>
  <si>
    <t>A13</t>
  </si>
  <si>
    <t>A12</t>
  </si>
  <si>
    <t>B12</t>
  </si>
  <si>
    <t>K3</t>
  </si>
  <si>
    <t>K12</t>
  </si>
  <si>
    <t>AM7</t>
  </si>
  <si>
    <t>K5</t>
  </si>
  <si>
    <t>K1</t>
  </si>
  <si>
    <t>KMU5</t>
  </si>
  <si>
    <t>KMU6</t>
  </si>
  <si>
    <t>KMU4</t>
  </si>
  <si>
    <t>KMU3</t>
  </si>
  <si>
    <t>KMU2</t>
  </si>
  <si>
    <t>KMU1</t>
  </si>
  <si>
    <t>BR3</t>
  </si>
  <si>
    <t>Linked line check sheet</t>
  </si>
  <si>
    <t>Corrected check lengths</t>
  </si>
  <si>
    <t>A</t>
  </si>
  <si>
    <t>B</t>
  </si>
  <si>
    <t>C</t>
  </si>
  <si>
    <t>D</t>
  </si>
  <si>
    <t>E</t>
  </si>
  <si>
    <t>F</t>
  </si>
  <si>
    <t>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</si>
  <si>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</si>
  <si>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</si>
  <si>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</si>
  <si>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</si>
  <si>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</si>
  <si>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</si>
  <si>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</si>
  <si>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</si>
  <si>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</si>
  <si>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</si>
  <si>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</si>
  <si>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</si>
  <si>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</si>
  <si>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</si>
  <si>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Line modifications</t>
  </si>
  <si>
    <t>Individual line lengths</t>
  </si>
  <si>
    <t>Upper/body lines</t>
  </si>
  <si>
    <t>Calc.</t>
  </si>
  <si>
    <t>Adjust</t>
  </si>
  <si>
    <t>Mid lines</t>
  </si>
  <si>
    <t>Full name</t>
  </si>
  <si>
    <t>AM1</t>
  </si>
  <si>
    <t>AM2</t>
  </si>
  <si>
    <t>BM1</t>
  </si>
  <si>
    <t>BM2</t>
  </si>
  <si>
    <t>BMU5</t>
  </si>
  <si>
    <t>BMU7</t>
  </si>
  <si>
    <t>BMU8</t>
  </si>
  <si>
    <t>Riser lines</t>
  </si>
  <si>
    <t>mk at 1030</t>
  </si>
  <si>
    <t>LIN-10-200-41</t>
  </si>
  <si>
    <t>CUT</t>
  </si>
  <si>
    <t>LIN-8000-050-RED Diagonal cut (Cắt xéo))</t>
  </si>
  <si>
    <t>LIN-8000-070-RED Diagonal cut )Cắt xéo</t>
  </si>
  <si>
    <t>LIN-8000-090-RED Diagonal cut (Cắt xéo)</t>
  </si>
  <si>
    <t>LIN-8000-190 Red Diagonal cut ( Cắt xéo)</t>
  </si>
  <si>
    <t>Cut</t>
  </si>
  <si>
    <t>LIN-8000-050-RED Diagonal cut (Cắt xéo)</t>
  </si>
  <si>
    <t>Reinforced with 8000-050 inside the loop: Luoàn daây 8000-050 beân trong 2 ñaàu loop</t>
  </si>
  <si>
    <t>LIN-8000-070-RED Diagonal cut (Cắt xéo)</t>
  </si>
  <si>
    <t>Reinforced with 8000-070 inside the loop:Luoàn daây 8000-070 beân trong 2 ñaàu loop</t>
  </si>
  <si>
    <t>LIN-8000-130-RED Diagonal cut (Cắt xéo)</t>
  </si>
  <si>
    <t>Reinforced with 8000-090 inside the loop:Luoàn daây 8000-090 beân trong 2 ñaàu loop</t>
  </si>
  <si>
    <t>Reinforced with 9200-030 inside the loop:Luoàn daây 9200-030 beân trong 2 ñaàu loop</t>
  </si>
  <si>
    <t>LIN-8000-190-RED Diagonal cut (Cắt xéo)</t>
  </si>
  <si>
    <t>Reinforced with 8000-130 inside the loop:Luoàn daây 8000-130 beân trong 2 ñaàu loop</t>
  </si>
  <si>
    <t>LIN-8000-130 Red Diagonal cut ( Cắt xéo)</t>
  </si>
  <si>
    <t>Reinforced with 8000-090 inside the loop: Chæ luoàn daây 8000-90 beân 1 ñaàu loop</t>
  </si>
  <si>
    <t>Reinforced with 8000-130 inside the loop: Chæ luoàn daây 8000-130 beân 1 ñaàu loop</t>
  </si>
  <si>
    <t>LIN-8000-360 Red Diagonal cut ( Cắt xéo)</t>
  </si>
  <si>
    <t>cut</t>
  </si>
  <si>
    <t>LIN-DSL140-RED</t>
  </si>
  <si>
    <t>DÂY BR1,2,3 VÔ ĐAI QUẤN 2 VÒNG</t>
  </si>
  <si>
    <t>MỖI BỘ DAÂY GÔÛI KEØM THEO : LIN-8000-050 x 5M
GUITAR STRING DAØI 15CM x 1 SÔÏI</t>
  </si>
  <si>
    <t>A6b,A7b</t>
  </si>
  <si>
    <t>A2b,A3b,A4b</t>
  </si>
  <si>
    <t>B13,K8</t>
  </si>
  <si>
    <t>BMU5,7,8</t>
  </si>
  <si>
    <t>BM1,2</t>
  </si>
  <si>
    <t>AM1,2</t>
  </si>
  <si>
    <t>1280
1030</t>
  </si>
  <si>
    <t>ZENO-ALPS-XS</t>
  </si>
  <si>
    <t>Z-ALPS- XS</t>
  </si>
  <si>
    <t>M</t>
  </si>
  <si>
    <t>EURO</t>
  </si>
  <si>
    <t>LIN-8000-050</t>
  </si>
  <si>
    <t>LIN-8000-070</t>
  </si>
  <si>
    <t>LIN-8000-090</t>
  </si>
  <si>
    <t>LIN-8000-130</t>
  </si>
  <si>
    <t>LIN-8000-190</t>
  </si>
  <si>
    <t>LIN-8000-230</t>
  </si>
  <si>
    <t>LIN-9200-030-011</t>
  </si>
  <si>
    <t>LIN-DSL-140</t>
  </si>
  <si>
    <t>LIN-8000-360-RED</t>
  </si>
  <si>
    <t>THD-DABONDV46WT</t>
  </si>
  <si>
    <t>KG</t>
  </si>
  <si>
    <t>Aa</t>
  </si>
  <si>
    <t>Ab</t>
  </si>
  <si>
    <t>Serial number:</t>
  </si>
  <si>
    <t>Checked by:</t>
  </si>
  <si>
    <t>Colour:</t>
  </si>
  <si>
    <t>Date of manufacture:</t>
  </si>
  <si>
    <t>LEFT</t>
  </si>
  <si>
    <t>RIGHT</t>
  </si>
  <si>
    <r>
      <t xml:space="preserve">AR1-   </t>
    </r>
    <r>
      <rPr>
        <b/>
        <sz val="10"/>
        <rFont val="VNI-Times"/>
      </rPr>
      <t>(loop    reinf + loop sleeve: 1 ñaàu boïc ñoû+ 1 ñaàu luoàn beân trong)</t>
    </r>
  </si>
  <si>
    <r>
      <t xml:space="preserve">AR2-   </t>
    </r>
    <r>
      <rPr>
        <b/>
        <sz val="10"/>
        <rFont val="VNI-Times"/>
      </rPr>
      <t>(loop    reinf + loop sleeve: 1 ñaàu boïc ñoû+ 1 ñaàu luoàn beân trong)</t>
    </r>
  </si>
  <si>
    <r>
      <t xml:space="preserve">AR3-   </t>
    </r>
    <r>
      <rPr>
        <b/>
        <sz val="10"/>
        <rFont val="VNI-Times"/>
      </rPr>
      <t>(loop    reinf + loop sleeve: 1 ñaàu boïc ñoû+ 1 ñaàu luoàn beân trong)</t>
    </r>
  </si>
  <si>
    <r>
      <t xml:space="preserve">BR1-   </t>
    </r>
    <r>
      <rPr>
        <b/>
        <sz val="10"/>
        <rFont val="VNI-Times"/>
      </rPr>
      <t>(loop    reinf + loop sleeve: 1 ñaàu boïc ñoû+ 1 ñaàu luoàn beân trong)</t>
    </r>
  </si>
  <si>
    <r>
      <t xml:space="preserve">BR2-   </t>
    </r>
    <r>
      <rPr>
        <b/>
        <sz val="10"/>
        <rFont val="VNI-Times"/>
      </rPr>
      <t>(loop    reinf + loop sleeve: 1 ñaàu boïc ñoû+ 1 ñaàu luoàn beân trong)</t>
    </r>
  </si>
  <si>
    <r>
      <t xml:space="preserve">Reinforced with </t>
    </r>
    <r>
      <rPr>
        <sz val="12"/>
        <color indexed="10"/>
        <rFont val="VNI-Times"/>
      </rPr>
      <t>8000-280</t>
    </r>
    <r>
      <rPr>
        <sz val="12"/>
        <rFont val="VNI-Times"/>
      </rPr>
      <t xml:space="preserve"> inside the loop: Chæ luoàn daây 8000-280 beân 1 ñaàu loop</t>
    </r>
  </si>
  <si>
    <t>BR2-
(Sock)</t>
  </si>
  <si>
    <t>AR3-
(Sock)</t>
  </si>
  <si>
    <t>BR1-
(Sock)</t>
  </si>
  <si>
    <t>AR1-
(Sock)</t>
  </si>
  <si>
    <t>AR2-
(Sock)</t>
  </si>
  <si>
    <r>
      <t>BR3</t>
    </r>
    <r>
      <rPr>
        <b/>
        <sz val="6"/>
        <rFont val="VNI-Times"/>
      </rPr>
      <t xml:space="preserve"> (Half-
round)</t>
    </r>
  </si>
  <si>
    <t>LIN-9200-030-001 Diagonal cut (cắt xéo)_XEM MẪU</t>
  </si>
</sst>
</file>

<file path=xl/styles.xml><?xml version="1.0" encoding="utf-8"?>
<styleSheet xmlns="http://schemas.openxmlformats.org/spreadsheetml/2006/main">
  <fonts count="39">
    <font>
      <sz val="11"/>
      <name val="Calibri"/>
    </font>
    <font>
      <b/>
      <sz val="16"/>
      <color indexed="8"/>
      <name val="Arial"/>
      <family val="2"/>
    </font>
    <font>
      <b/>
      <sz val="10"/>
      <color indexed="8"/>
      <name val="Arial"/>
      <family val="2"/>
    </font>
    <font>
      <sz val="14"/>
      <name val="VNI-Times"/>
    </font>
    <font>
      <sz val="11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i/>
      <sz val="12"/>
      <name val="VNI-Times"/>
    </font>
    <font>
      <sz val="12"/>
      <name val="VNI-Times"/>
    </font>
    <font>
      <sz val="13"/>
      <name val="Times New Roman"/>
      <family val="1"/>
    </font>
    <font>
      <sz val="12"/>
      <color indexed="10"/>
      <name val="Times New Roman"/>
      <family val="1"/>
    </font>
    <font>
      <sz val="18"/>
      <name val="VNI-Times"/>
    </font>
    <font>
      <sz val="16"/>
      <color indexed="8"/>
      <name val="VNI-Times"/>
    </font>
    <font>
      <b/>
      <sz val="10"/>
      <name val="VNI-Times"/>
    </font>
    <font>
      <b/>
      <sz val="8"/>
      <name val="VNI-Times"/>
    </font>
    <font>
      <sz val="11"/>
      <color indexed="10"/>
      <name val="Calibri"/>
      <family val="2"/>
    </font>
    <font>
      <sz val="24"/>
      <name val="Times New Roman"/>
      <family val="1"/>
    </font>
    <font>
      <b/>
      <sz val="16"/>
      <name val="Times New Roman"/>
      <family val="1"/>
    </font>
    <font>
      <b/>
      <sz val="10"/>
      <color indexed="8"/>
      <name val="Arial"/>
      <family val="2"/>
    </font>
    <font>
      <sz val="10"/>
      <name val="Arial"/>
      <family val="2"/>
    </font>
    <font>
      <sz val="24"/>
      <color indexed="62"/>
      <name val="VNI-Times"/>
    </font>
    <font>
      <sz val="14"/>
      <color indexed="62"/>
      <name val="VNI-Times"/>
    </font>
    <font>
      <sz val="11"/>
      <name val="VNI-Times"/>
    </font>
    <font>
      <sz val="13"/>
      <name val="VNI-Times"/>
    </font>
    <font>
      <sz val="10"/>
      <name val="VNI-Times"/>
    </font>
    <font>
      <sz val="16"/>
      <name val="VNI-Times"/>
    </font>
    <font>
      <sz val="12"/>
      <color indexed="10"/>
      <name val="VNI-Times"/>
    </font>
    <font>
      <b/>
      <sz val="12"/>
      <name val="VNI-Times"/>
    </font>
    <font>
      <sz val="12"/>
      <name val="Calibri"/>
    </font>
    <font>
      <b/>
      <i/>
      <u/>
      <sz val="12"/>
      <name val="VNI-Times"/>
    </font>
    <font>
      <b/>
      <sz val="6"/>
      <name val="VNI-Times"/>
    </font>
    <font>
      <b/>
      <sz val="9"/>
      <name val="VNI-Times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FF0000"/>
      <name val="Arial"/>
      <family val="2"/>
    </font>
    <font>
      <b/>
      <sz val="16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35" fillId="0" borderId="0">
      <alignment horizontal="center"/>
    </xf>
    <xf numFmtId="0" fontId="35" fillId="0" borderId="0">
      <alignment horizontal="left"/>
    </xf>
    <xf numFmtId="0" fontId="36" fillId="0" borderId="0">
      <alignment horizontal="left"/>
    </xf>
    <xf numFmtId="0" fontId="35" fillId="0" borderId="0">
      <alignment horizontal="center"/>
    </xf>
    <xf numFmtId="0" fontId="35" fillId="0" borderId="0">
      <alignment horizontal="right"/>
    </xf>
    <xf numFmtId="0" fontId="35" fillId="0" borderId="0">
      <alignment horizontal="left"/>
    </xf>
    <xf numFmtId="0" fontId="35" fillId="0" borderId="0">
      <alignment horizontal="left"/>
    </xf>
    <xf numFmtId="0" fontId="37" fillId="0" borderId="0">
      <alignment horizontal="left"/>
    </xf>
    <xf numFmtId="0" fontId="38" fillId="0" borderId="0">
      <alignment horizontal="left"/>
    </xf>
  </cellStyleXfs>
  <cellXfs count="83">
    <xf numFmtId="0" fontId="0" fillId="0" borderId="0" xfId="0"/>
    <xf numFmtId="0" fontId="1" fillId="0" borderId="0" xfId="9" applyNumberFormat="1" applyFont="1" applyFill="1">
      <alignment horizontal="left"/>
    </xf>
    <xf numFmtId="0" fontId="2" fillId="0" borderId="0" xfId="7" applyNumberFormat="1" applyFont="1" applyFill="1">
      <alignment horizontal="left"/>
    </xf>
    <xf numFmtId="0" fontId="2" fillId="0" borderId="0" xfId="2" applyNumberFormat="1" applyFont="1" applyFill="1">
      <alignment horizontal="left"/>
    </xf>
    <xf numFmtId="0" fontId="2" fillId="0" borderId="0" xfId="5" applyNumberFormat="1" applyFont="1" applyFill="1">
      <alignment horizontal="right"/>
    </xf>
    <xf numFmtId="0" fontId="3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5" fillId="0" borderId="1" xfId="6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7" fillId="0" borderId="1" xfId="5" applyFont="1" applyFill="1" applyBorder="1" applyAlignment="1">
      <alignment horizontal="center"/>
    </xf>
    <xf numFmtId="0" fontId="8" fillId="0" borderId="1" xfId="6" applyFont="1" applyFill="1" applyBorder="1">
      <alignment horizontal="left"/>
    </xf>
    <xf numFmtId="0" fontId="9" fillId="0" borderId="1" xfId="0" applyFont="1" applyFill="1" applyBorder="1"/>
    <xf numFmtId="0" fontId="4" fillId="0" borderId="1" xfId="0" applyFont="1" applyFill="1" applyBorder="1"/>
    <xf numFmtId="0" fontId="8" fillId="0" borderId="1" xfId="0" applyFont="1" applyFill="1" applyBorder="1"/>
    <xf numFmtId="0" fontId="10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11" fillId="0" borderId="1" xfId="6" applyFont="1" applyFill="1" applyBorder="1" applyAlignment="1">
      <alignment horizontal="left"/>
    </xf>
    <xf numFmtId="0" fontId="0" fillId="0" borderId="0" xfId="0" applyFill="1"/>
    <xf numFmtId="0" fontId="15" fillId="0" borderId="1" xfId="9" applyFont="1" applyFill="1" applyBorder="1">
      <alignment horizontal="left"/>
    </xf>
    <xf numFmtId="14" fontId="4" fillId="0" borderId="1" xfId="0" applyNumberFormat="1" applyFont="1" applyFill="1" applyBorder="1"/>
    <xf numFmtId="1" fontId="13" fillId="0" borderId="1" xfId="0" applyNumberFormat="1" applyFont="1" applyFill="1" applyBorder="1" applyAlignment="1">
      <alignment horizontal="center"/>
    </xf>
    <xf numFmtId="0" fontId="16" fillId="0" borderId="0" xfId="0" applyFont="1" applyAlignment="1">
      <alignment horizontal="center" vertical="distributed" textRotation="180"/>
    </xf>
    <xf numFmtId="0" fontId="17" fillId="0" borderId="0" xfId="0" applyFont="1" applyAlignment="1">
      <alignment horizontal="center" vertical="distributed" textRotation="180"/>
    </xf>
    <xf numFmtId="0" fontId="19" fillId="0" borderId="1" xfId="0" applyFont="1" applyBorder="1"/>
    <xf numFmtId="0" fontId="0" fillId="0" borderId="1" xfId="0" applyBorder="1"/>
    <xf numFmtId="0" fontId="20" fillId="0" borderId="1" xfId="9" applyFont="1" applyFill="1" applyBorder="1">
      <alignment horizontal="left"/>
    </xf>
    <xf numFmtId="14" fontId="21" fillId="0" borderId="1" xfId="7" applyNumberFormat="1" applyFont="1" applyFill="1" applyBorder="1">
      <alignment horizontal="left"/>
    </xf>
    <xf numFmtId="0" fontId="0" fillId="0" borderId="1" xfId="0" applyFill="1" applyBorder="1"/>
    <xf numFmtId="0" fontId="2" fillId="0" borderId="1" xfId="2" applyNumberFormat="1" applyFont="1" applyFill="1" applyBorder="1">
      <alignment horizontal="left"/>
    </xf>
    <xf numFmtId="0" fontId="2" fillId="0" borderId="1" xfId="5" applyNumberFormat="1" applyFont="1" applyFill="1" applyBorder="1">
      <alignment horizontal="right"/>
    </xf>
    <xf numFmtId="0" fontId="18" fillId="0" borderId="1" xfId="0" applyFont="1" applyBorder="1"/>
    <xf numFmtId="0" fontId="0" fillId="0" borderId="0" xfId="0" applyBorder="1"/>
    <xf numFmtId="0" fontId="0" fillId="0" borderId="0" xfId="0" applyFill="1" applyBorder="1"/>
    <xf numFmtId="0" fontId="14" fillId="0" borderId="0" xfId="0" applyFont="1" applyFill="1" applyBorder="1" applyAlignment="1">
      <alignment horizontal="center" wrapText="1"/>
    </xf>
    <xf numFmtId="0" fontId="7" fillId="2" borderId="0" xfId="0" applyFont="1" applyFill="1" applyBorder="1"/>
    <xf numFmtId="0" fontId="4" fillId="2" borderId="0" xfId="0" applyFont="1" applyFill="1" applyBorder="1"/>
    <xf numFmtId="0" fontId="7" fillId="2" borderId="0" xfId="0" applyNumberFormat="1" applyFont="1" applyFill="1" applyBorder="1"/>
    <xf numFmtId="0" fontId="22" fillId="2" borderId="0" xfId="0" applyFont="1" applyFill="1" applyBorder="1"/>
    <xf numFmtId="0" fontId="22" fillId="2" borderId="0" xfId="0" applyNumberFormat="1" applyFont="1" applyFill="1" applyBorder="1"/>
    <xf numFmtId="0" fontId="0" fillId="2" borderId="0" xfId="0" applyFill="1" applyBorder="1"/>
    <xf numFmtId="0" fontId="5" fillId="2" borderId="0" xfId="0" applyFont="1" applyFill="1" applyBorder="1"/>
    <xf numFmtId="0" fontId="7" fillId="2" borderId="0" xfId="0" applyNumberFormat="1" applyFont="1" applyFill="1" applyBorder="1" applyAlignment="1">
      <alignment horizontal="left"/>
    </xf>
    <xf numFmtId="0" fontId="0" fillId="3" borderId="0" xfId="0" applyFill="1"/>
    <xf numFmtId="0" fontId="2" fillId="3" borderId="0" xfId="5" applyNumberFormat="1" applyFont="1" applyFill="1">
      <alignment horizontal="right"/>
    </xf>
    <xf numFmtId="0" fontId="2" fillId="3" borderId="0" xfId="2" applyNumberFormat="1" applyFont="1" applyFill="1">
      <alignment horizontal="left"/>
    </xf>
    <xf numFmtId="0" fontId="23" fillId="0" borderId="0" xfId="7" applyFont="1" applyFill="1">
      <alignment horizontal="left"/>
    </xf>
    <xf numFmtId="0" fontId="24" fillId="0" borderId="0" xfId="0" applyFont="1" applyFill="1"/>
    <xf numFmtId="0" fontId="3" fillId="0" borderId="0" xfId="0" applyFont="1" applyFill="1"/>
    <xf numFmtId="0" fontId="11" fillId="0" borderId="0" xfId="9" applyFont="1" applyFill="1">
      <alignment horizontal="left"/>
    </xf>
    <xf numFmtId="0" fontId="25" fillId="0" borderId="0" xfId="0" applyFont="1" applyFill="1"/>
    <xf numFmtId="0" fontId="25" fillId="0" borderId="0" xfId="0" applyFont="1" applyFill="1" applyAlignment="1"/>
    <xf numFmtId="0" fontId="26" fillId="0" borderId="0" xfId="2" applyFont="1" applyFill="1" applyAlignment="1">
      <alignment horizontal="left"/>
    </xf>
    <xf numFmtId="0" fontId="11" fillId="0" borderId="0" xfId="0" applyFont="1" applyFill="1"/>
    <xf numFmtId="0" fontId="11" fillId="0" borderId="0" xfId="0" applyFont="1" applyFill="1" applyBorder="1" applyAlignment="1">
      <alignment horizontal="left"/>
    </xf>
    <xf numFmtId="0" fontId="11" fillId="0" borderId="0" xfId="0" applyFont="1" applyFill="1" applyAlignment="1">
      <alignment horizontal="right"/>
    </xf>
    <xf numFmtId="0" fontId="26" fillId="0" borderId="0" xfId="0" applyFont="1" applyFill="1"/>
    <xf numFmtId="0" fontId="27" fillId="0" borderId="0" xfId="2" applyFont="1" applyFill="1">
      <alignment horizontal="left"/>
    </xf>
    <xf numFmtId="0" fontId="3" fillId="0" borderId="1" xfId="0" applyFont="1" applyFill="1" applyBorder="1" applyAlignment="1">
      <alignment horizontal="center"/>
    </xf>
    <xf numFmtId="0" fontId="3" fillId="0" borderId="1" xfId="2" applyFont="1" applyFill="1" applyBorder="1" applyAlignment="1">
      <alignment horizontal="center"/>
    </xf>
    <xf numFmtId="0" fontId="28" fillId="0" borderId="1" xfId="2" applyFont="1" applyFill="1" applyBorder="1" applyAlignment="1"/>
    <xf numFmtId="0" fontId="28" fillId="0" borderId="1" xfId="0" applyFont="1" applyFill="1" applyBorder="1" applyAlignment="1"/>
    <xf numFmtId="0" fontId="3" fillId="0" borderId="1" xfId="0" applyFont="1" applyFill="1" applyBorder="1" applyAlignment="1"/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25" fillId="0" borderId="0" xfId="0" applyFont="1" applyFill="1" applyBorder="1"/>
    <xf numFmtId="0" fontId="27" fillId="0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30" fillId="0" borderId="0" xfId="0" applyFont="1" applyAlignment="1">
      <alignment horizontal="center" vertical="distributed" textRotation="180" wrapText="1"/>
    </xf>
    <xf numFmtId="1" fontId="30" fillId="0" borderId="0" xfId="0" applyNumberFormat="1" applyFont="1" applyAlignment="1">
      <alignment horizontal="center" vertical="distributed" textRotation="180" wrapText="1"/>
    </xf>
    <xf numFmtId="0" fontId="30" fillId="0" borderId="0" xfId="0" applyFont="1" applyAlignment="1">
      <alignment horizontal="center" vertical="distributed" textRotation="180"/>
    </xf>
    <xf numFmtId="0" fontId="31" fillId="0" borderId="0" xfId="0" applyFont="1"/>
    <xf numFmtId="1" fontId="32" fillId="0" borderId="0" xfId="0" applyNumberFormat="1" applyFont="1" applyAlignment="1">
      <alignment horizontal="center" vertical="distributed" textRotation="180"/>
    </xf>
    <xf numFmtId="0" fontId="16" fillId="0" borderId="0" xfId="0" applyFont="1" applyAlignment="1">
      <alignment horizontal="center" vertical="distributed" textRotation="180" wrapText="1"/>
    </xf>
    <xf numFmtId="0" fontId="34" fillId="0" borderId="0" xfId="0" applyFont="1" applyAlignment="1">
      <alignment horizontal="center" vertical="distributed" textRotation="180" wrapText="1"/>
    </xf>
    <xf numFmtId="0" fontId="9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wrapText="1"/>
    </xf>
    <xf numFmtId="14" fontId="3" fillId="0" borderId="0" xfId="0" applyNumberFormat="1" applyFont="1" applyFill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3" fillId="0" borderId="1" xfId="2" applyFont="1" applyFill="1" applyBorder="1" applyAlignment="1">
      <alignment horizontal="center"/>
    </xf>
  </cellXfs>
  <cellStyles count="10">
    <cellStyle name="Center" xfId="1"/>
    <cellStyle name="Header" xfId="2"/>
    <cellStyle name="Header1" xfId="3"/>
    <cellStyle name="HeaderCenter" xfId="4"/>
    <cellStyle name="HeaderRight" xfId="5"/>
    <cellStyle name="Material" xfId="6"/>
    <cellStyle name="Normal" xfId="0" builtinId="0"/>
    <cellStyle name="Proto" xfId="7"/>
    <cellStyle name="Remark" xfId="8"/>
    <cellStyle name="Title" xfId="9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</xdr:row>
      <xdr:rowOff>38100</xdr:rowOff>
    </xdr:from>
    <xdr:to>
      <xdr:col>3</xdr:col>
      <xdr:colOff>142875</xdr:colOff>
      <xdr:row>12</xdr:row>
      <xdr:rowOff>28575</xdr:rowOff>
    </xdr:to>
    <xdr:pic>
      <xdr:nvPicPr>
        <xdr:cNvPr id="1025" name="Picture 1" descr="MAY DAY 10-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04875"/>
          <a:ext cx="533400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20</xdr:row>
      <xdr:rowOff>19050</xdr:rowOff>
    </xdr:from>
    <xdr:to>
      <xdr:col>3</xdr:col>
      <xdr:colOff>123825</xdr:colOff>
      <xdr:row>31</xdr:row>
      <xdr:rowOff>38100</xdr:rowOff>
    </xdr:to>
    <xdr:pic>
      <xdr:nvPicPr>
        <xdr:cNvPr id="1026" name="Picture 7" descr="loai A binh thuo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4600575"/>
          <a:ext cx="530542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76</xdr:row>
      <xdr:rowOff>66675</xdr:rowOff>
    </xdr:from>
    <xdr:to>
      <xdr:col>3</xdr:col>
      <xdr:colOff>228600</xdr:colOff>
      <xdr:row>85</xdr:row>
      <xdr:rowOff>152400</xdr:rowOff>
    </xdr:to>
    <xdr:pic>
      <xdr:nvPicPr>
        <xdr:cNvPr id="1027" name="Picture 9" descr="loai B binh thuo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16449675"/>
          <a:ext cx="54006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115</xdr:row>
      <xdr:rowOff>180975</xdr:rowOff>
    </xdr:from>
    <xdr:to>
      <xdr:col>3</xdr:col>
      <xdr:colOff>228600</xdr:colOff>
      <xdr:row>127</xdr:row>
      <xdr:rowOff>0</xdr:rowOff>
    </xdr:to>
    <xdr:pic>
      <xdr:nvPicPr>
        <xdr:cNvPr id="1028" name="Picture 4" descr="Copy of tro luc loai 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24584025"/>
          <a:ext cx="541972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166</xdr:row>
      <xdr:rowOff>161925</xdr:rowOff>
    </xdr:from>
    <xdr:to>
      <xdr:col>3</xdr:col>
      <xdr:colOff>171450</xdr:colOff>
      <xdr:row>180</xdr:row>
      <xdr:rowOff>85725</xdr:rowOff>
    </xdr:to>
    <xdr:pic>
      <xdr:nvPicPr>
        <xdr:cNvPr id="1029" name="Picture 5" descr="Copy of tro luc loai B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35290125"/>
          <a:ext cx="5219700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</xdr:row>
      <xdr:rowOff>209550</xdr:rowOff>
    </xdr:from>
    <xdr:to>
      <xdr:col>3</xdr:col>
      <xdr:colOff>314325</xdr:colOff>
      <xdr:row>219</xdr:row>
      <xdr:rowOff>66675</xdr:rowOff>
    </xdr:to>
    <xdr:pic>
      <xdr:nvPicPr>
        <xdr:cNvPr id="1030" name="Picture 7" descr="Copy of loai B 1 dau tro luc, 1 boc d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44176950"/>
          <a:ext cx="5562600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257</xdr:row>
      <xdr:rowOff>47625</xdr:rowOff>
    </xdr:from>
    <xdr:to>
      <xdr:col>3</xdr:col>
      <xdr:colOff>304800</xdr:colOff>
      <xdr:row>270</xdr:row>
      <xdr:rowOff>38100</xdr:rowOff>
    </xdr:to>
    <xdr:pic>
      <xdr:nvPicPr>
        <xdr:cNvPr id="1031" name="Picture 8" descr="round around B maillo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" y="54740175"/>
          <a:ext cx="5467350" cy="246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241</xdr:row>
      <xdr:rowOff>95250</xdr:rowOff>
    </xdr:from>
    <xdr:to>
      <xdr:col>3</xdr:col>
      <xdr:colOff>428625</xdr:colOff>
      <xdr:row>252</xdr:row>
      <xdr:rowOff>104775</xdr:rowOff>
    </xdr:to>
    <xdr:pic>
      <xdr:nvPicPr>
        <xdr:cNvPr id="1032" name="Picture 5" descr="Untitled-111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1701700"/>
          <a:ext cx="56769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83"/>
  <sheetViews>
    <sheetView tabSelected="1" workbookViewId="0">
      <selection activeCell="E1" sqref="E1"/>
    </sheetView>
  </sheetViews>
  <sheetFormatPr defaultRowHeight="15"/>
  <cols>
    <col min="1" max="1" width="60.42578125" style="33" customWidth="1"/>
    <col min="2" max="3" width="9.140625" style="33"/>
    <col min="4" max="4" width="10.140625" style="34" bestFit="1" customWidth="1"/>
  </cols>
  <sheetData>
    <row r="1" spans="1:10" ht="33" customHeight="1">
      <c r="A1" s="25" t="s">
        <v>162</v>
      </c>
      <c r="B1" s="26"/>
      <c r="C1" s="12"/>
      <c r="D1" s="12"/>
    </row>
    <row r="2" spans="1:10" ht="20.25">
      <c r="A2" s="27" t="s">
        <v>0</v>
      </c>
      <c r="B2" s="28"/>
      <c r="C2" s="12"/>
      <c r="D2" s="21">
        <v>43329</v>
      </c>
    </row>
    <row r="3" spans="1:10">
      <c r="A3" s="26"/>
      <c r="B3" s="26"/>
      <c r="C3" s="26"/>
      <c r="D3" s="29"/>
    </row>
    <row r="4" spans="1:10">
      <c r="A4" s="26"/>
      <c r="B4" s="26"/>
      <c r="C4" s="26"/>
      <c r="D4" s="29"/>
    </row>
    <row r="5" spans="1:10">
      <c r="A5" s="26"/>
      <c r="B5" s="26"/>
      <c r="C5" s="26"/>
      <c r="D5" s="29"/>
    </row>
    <row r="6" spans="1:10">
      <c r="A6" s="26"/>
      <c r="B6" s="26"/>
      <c r="C6" s="26"/>
      <c r="D6" s="29"/>
      <c r="F6" s="36" t="s">
        <v>131</v>
      </c>
      <c r="G6" s="37"/>
      <c r="H6" s="36" t="s">
        <v>164</v>
      </c>
      <c r="I6" s="36">
        <v>0.2424</v>
      </c>
      <c r="J6" s="38" t="s">
        <v>165</v>
      </c>
    </row>
    <row r="7" spans="1:10">
      <c r="A7" s="26"/>
      <c r="B7" s="26"/>
      <c r="C7" s="26"/>
      <c r="D7" s="29"/>
      <c r="F7" s="37" t="s">
        <v>166</v>
      </c>
      <c r="G7" s="37"/>
      <c r="H7" s="36" t="s">
        <v>164</v>
      </c>
      <c r="I7" s="36">
        <v>0.13919999999999999</v>
      </c>
      <c r="J7" s="36" t="s">
        <v>165</v>
      </c>
    </row>
    <row r="8" spans="1:10">
      <c r="A8" s="26"/>
      <c r="B8" s="26"/>
      <c r="C8" s="26"/>
      <c r="D8" s="29"/>
      <c r="F8" s="36" t="s">
        <v>167</v>
      </c>
      <c r="G8" s="37"/>
      <c r="H8" s="36" t="s">
        <v>164</v>
      </c>
      <c r="I8" s="36">
        <v>0.2</v>
      </c>
      <c r="J8" s="36" t="s">
        <v>165</v>
      </c>
    </row>
    <row r="9" spans="1:10">
      <c r="A9" s="26"/>
      <c r="B9" s="26"/>
      <c r="C9" s="26"/>
      <c r="D9" s="29"/>
      <c r="F9" s="36" t="s">
        <v>168</v>
      </c>
      <c r="G9" s="37"/>
      <c r="H9" s="36" t="s">
        <v>164</v>
      </c>
      <c r="I9" s="36">
        <v>0.20399999999999999</v>
      </c>
      <c r="J9" s="36" t="s">
        <v>165</v>
      </c>
    </row>
    <row r="10" spans="1:10">
      <c r="A10" s="26"/>
      <c r="B10" s="26"/>
      <c r="C10" s="26"/>
      <c r="D10" s="29"/>
      <c r="F10" s="36" t="s">
        <v>169</v>
      </c>
      <c r="G10" s="37"/>
      <c r="H10" s="36" t="s">
        <v>164</v>
      </c>
      <c r="I10" s="36">
        <v>0.31440000000000001</v>
      </c>
      <c r="J10" s="36" t="s">
        <v>165</v>
      </c>
    </row>
    <row r="11" spans="1:10">
      <c r="A11" s="26"/>
      <c r="B11" s="26"/>
      <c r="C11" s="26"/>
      <c r="D11" s="29"/>
      <c r="F11" s="37" t="s">
        <v>170</v>
      </c>
      <c r="G11" s="37"/>
      <c r="H11" s="36" t="s">
        <v>164</v>
      </c>
      <c r="I11" s="36">
        <v>0.36399999999999999</v>
      </c>
      <c r="J11" s="36" t="s">
        <v>165</v>
      </c>
    </row>
    <row r="12" spans="1:10">
      <c r="A12" s="26"/>
      <c r="B12" s="26"/>
      <c r="C12" s="26"/>
      <c r="D12" s="29"/>
      <c r="F12" s="37" t="s">
        <v>171</v>
      </c>
      <c r="G12" s="37"/>
      <c r="H12" s="36" t="s">
        <v>164</v>
      </c>
      <c r="I12" s="36">
        <v>0.28560000000000002</v>
      </c>
      <c r="J12" s="36" t="s">
        <v>165</v>
      </c>
    </row>
    <row r="13" spans="1:10">
      <c r="A13" s="26"/>
      <c r="B13" s="26"/>
      <c r="C13" s="26"/>
      <c r="D13" s="29"/>
      <c r="F13" s="36" t="s">
        <v>172</v>
      </c>
      <c r="G13" s="37"/>
      <c r="H13" s="36" t="s">
        <v>164</v>
      </c>
      <c r="I13" s="36">
        <v>0.104</v>
      </c>
      <c r="J13" s="36" t="s">
        <v>165</v>
      </c>
    </row>
    <row r="14" spans="1:10" ht="19.5">
      <c r="A14" s="5" t="s">
        <v>131</v>
      </c>
      <c r="B14" s="26"/>
      <c r="C14" s="26"/>
      <c r="D14" s="29"/>
      <c r="F14" s="37" t="s">
        <v>173</v>
      </c>
      <c r="G14" s="37"/>
      <c r="H14" s="39" t="s">
        <v>164</v>
      </c>
      <c r="I14" s="40">
        <v>0.12970000000000001</v>
      </c>
      <c r="J14" s="39" t="s">
        <v>165</v>
      </c>
    </row>
    <row r="15" spans="1:10">
      <c r="A15" s="30" t="s">
        <v>4</v>
      </c>
      <c r="B15" s="31" t="s">
        <v>5</v>
      </c>
      <c r="C15" s="31" t="s">
        <v>6</v>
      </c>
      <c r="D15" s="6" t="s">
        <v>132</v>
      </c>
      <c r="F15" s="39" t="s">
        <v>174</v>
      </c>
      <c r="G15" s="41"/>
      <c r="H15" s="39" t="s">
        <v>164</v>
      </c>
      <c r="I15" s="39">
        <v>0.31040000000000001</v>
      </c>
      <c r="J15" s="39" t="s">
        <v>165</v>
      </c>
    </row>
    <row r="16" spans="1:10" ht="18.75">
      <c r="A16" s="26" t="s">
        <v>7</v>
      </c>
      <c r="B16" s="26">
        <v>2</v>
      </c>
      <c r="C16" s="26">
        <f>1030+250</f>
        <v>1280</v>
      </c>
      <c r="D16" s="6">
        <f>C16-90</f>
        <v>1190</v>
      </c>
      <c r="F16" s="42" t="s">
        <v>175</v>
      </c>
      <c r="G16" s="37"/>
      <c r="H16" s="36" t="s">
        <v>176</v>
      </c>
      <c r="I16" s="43">
        <v>31.524999999999999</v>
      </c>
      <c r="J16" s="36" t="s">
        <v>165</v>
      </c>
    </row>
    <row r="17" spans="1:13">
      <c r="A17" s="26" t="s">
        <v>130</v>
      </c>
      <c r="B17" s="26"/>
      <c r="C17" s="26"/>
      <c r="D17" s="29"/>
    </row>
    <row r="18" spans="1:13" ht="30.75">
      <c r="A18" s="25" t="s">
        <v>162</v>
      </c>
      <c r="B18" s="26"/>
      <c r="C18" s="12"/>
      <c r="D18" s="12"/>
    </row>
    <row r="19" spans="1:13" ht="20.25">
      <c r="A19" s="27" t="s">
        <v>0</v>
      </c>
      <c r="B19" s="28"/>
      <c r="C19" s="12"/>
      <c r="D19" s="21"/>
    </row>
    <row r="20" spans="1:13" ht="23.25">
      <c r="A20" s="20"/>
      <c r="B20" s="12"/>
      <c r="C20" s="12"/>
      <c r="D20" s="21"/>
    </row>
    <row r="21" spans="1:13" ht="23.25">
      <c r="A21" s="20"/>
      <c r="B21" s="12"/>
      <c r="C21" s="12"/>
      <c r="D21" s="21"/>
      <c r="I21" s="4" t="s">
        <v>177</v>
      </c>
      <c r="J21" s="4" t="s">
        <v>178</v>
      </c>
      <c r="K21" s="4" t="s">
        <v>95</v>
      </c>
      <c r="L21" s="4" t="s">
        <v>96</v>
      </c>
      <c r="M21" s="4" t="s">
        <v>100</v>
      </c>
    </row>
    <row r="22" spans="1:13" ht="23.25">
      <c r="A22" s="20"/>
      <c r="B22" s="12"/>
      <c r="C22" s="12"/>
      <c r="D22" s="21"/>
    </row>
    <row r="23" spans="1:13" ht="23.25">
      <c r="A23" s="20"/>
      <c r="B23" s="12"/>
      <c r="C23" s="12"/>
      <c r="D23" s="21"/>
      <c r="H23" s="3" t="s">
        <v>101</v>
      </c>
      <c r="I23">
        <f>4526+735+1199+197</f>
        <v>6657</v>
      </c>
      <c r="J23">
        <f>4526+735+1199+172</f>
        <v>6632</v>
      </c>
      <c r="K23">
        <f>4123+1005+857+603</f>
        <v>6588</v>
      </c>
      <c r="L23">
        <f>4123+1005+857+675</f>
        <v>6660</v>
      </c>
      <c r="M23">
        <f>748+2566+2377+1239+630</f>
        <v>7560</v>
      </c>
    </row>
    <row r="24" spans="1:13" ht="23.25">
      <c r="A24" s="20"/>
      <c r="B24" s="12"/>
      <c r="C24" s="12"/>
      <c r="D24" s="21"/>
      <c r="H24" s="3" t="s">
        <v>102</v>
      </c>
      <c r="I24">
        <f>4526+735+1100+186</f>
        <v>6547</v>
      </c>
      <c r="J24">
        <f>4526+735+1100+160</f>
        <v>6521</v>
      </c>
      <c r="K24">
        <f>4123+1005+857+513</f>
        <v>6498</v>
      </c>
      <c r="L24">
        <f>4123+1005+857+591</f>
        <v>6576</v>
      </c>
      <c r="M24">
        <f>748+2566+2377+1239+305</f>
        <v>7235</v>
      </c>
    </row>
    <row r="25" spans="1:13">
      <c r="A25" s="26"/>
      <c r="B25" s="26"/>
      <c r="C25" s="26"/>
      <c r="D25" s="29"/>
      <c r="H25" s="3" t="s">
        <v>103</v>
      </c>
      <c r="I25">
        <f>4526+735+1072+185</f>
        <v>6518</v>
      </c>
      <c r="J25">
        <f>4526+735+1072+160</f>
        <v>6493</v>
      </c>
      <c r="K25">
        <f>4123+1005+902+438</f>
        <v>6468</v>
      </c>
      <c r="L25">
        <f>4123+1005+902+511</f>
        <v>6541</v>
      </c>
      <c r="M25">
        <f>748+2566+2377+947+404</f>
        <v>7042</v>
      </c>
    </row>
    <row r="26" spans="1:13">
      <c r="A26" s="26"/>
      <c r="B26" s="26"/>
      <c r="C26" s="26"/>
      <c r="D26" s="29"/>
      <c r="H26" s="3" t="s">
        <v>104</v>
      </c>
      <c r="I26">
        <f>4526+735+1126+183</f>
        <v>6570</v>
      </c>
      <c r="J26">
        <f>4526+735+1126+160</f>
        <v>6547</v>
      </c>
      <c r="K26">
        <f>4123+1005+947+423</f>
        <v>6498</v>
      </c>
      <c r="L26">
        <f>4123+1005+947+491</f>
        <v>6566</v>
      </c>
      <c r="M26">
        <f>748+2566+2377+947+337</f>
        <v>6975</v>
      </c>
    </row>
    <row r="27" spans="1:13">
      <c r="A27" s="26"/>
      <c r="B27" s="26"/>
      <c r="C27" s="26"/>
      <c r="D27" s="29"/>
      <c r="H27" s="3" t="s">
        <v>105</v>
      </c>
      <c r="I27">
        <f>4670+648+956+189</f>
        <v>6463</v>
      </c>
      <c r="J27">
        <f>4670+648+956+167</f>
        <v>6441</v>
      </c>
      <c r="K27">
        <f>4455+830+811+319</f>
        <v>6415</v>
      </c>
      <c r="L27">
        <f>4455+830+811+385</f>
        <v>6481</v>
      </c>
      <c r="M27">
        <f>748+2566+2173+866+465</f>
        <v>6818</v>
      </c>
    </row>
    <row r="28" spans="1:13">
      <c r="A28" s="26"/>
      <c r="B28" s="26"/>
      <c r="C28" s="26"/>
      <c r="D28" s="29"/>
      <c r="H28" s="3" t="s">
        <v>106</v>
      </c>
      <c r="I28">
        <f>4670+648+827+181</f>
        <v>6326</v>
      </c>
      <c r="J28">
        <f>4670+648+827+159</f>
        <v>6304</v>
      </c>
      <c r="K28">
        <f>4455+830+721+286</f>
        <v>6292</v>
      </c>
      <c r="L28">
        <f>4455+830+721+350</f>
        <v>6356</v>
      </c>
      <c r="M28">
        <f>748+2566+2173+866+273</f>
        <v>6626</v>
      </c>
    </row>
    <row r="29" spans="1:13">
      <c r="A29" s="26"/>
      <c r="B29" s="26"/>
      <c r="C29" s="26"/>
      <c r="D29" s="29"/>
      <c r="H29" s="3" t="s">
        <v>107</v>
      </c>
      <c r="I29">
        <f>4670+500+915+178</f>
        <v>6263</v>
      </c>
      <c r="J29">
        <f>4670+500+915+159</f>
        <v>6244</v>
      </c>
      <c r="K29">
        <f>4455+681+811+282</f>
        <v>6229</v>
      </c>
      <c r="L29">
        <f>4455+681+811+339</f>
        <v>6286</v>
      </c>
      <c r="M29">
        <f>748+2566+2173+820+271</f>
        <v>6578</v>
      </c>
    </row>
    <row r="30" spans="1:13">
      <c r="A30" s="26"/>
      <c r="B30" s="26"/>
      <c r="C30" s="26"/>
      <c r="D30" s="29"/>
      <c r="H30" s="3" t="s">
        <v>108</v>
      </c>
      <c r="I30">
        <f>4670+500+949+174</f>
        <v>6293</v>
      </c>
      <c r="J30">
        <f>4670+500+949+158</f>
        <v>6277</v>
      </c>
      <c r="K30">
        <f>4455+681+811+297</f>
        <v>6244</v>
      </c>
      <c r="L30">
        <f>4455+681+811+338</f>
        <v>6285</v>
      </c>
      <c r="M30">
        <f>748+2566+2173+820+381</f>
        <v>6688</v>
      </c>
    </row>
    <row r="31" spans="1:13">
      <c r="A31" s="26"/>
      <c r="B31" s="26"/>
      <c r="C31" s="26"/>
      <c r="D31" s="29"/>
      <c r="H31" s="3" t="s">
        <v>109</v>
      </c>
      <c r="I31">
        <f>2570+1704+604+1187</f>
        <v>6065</v>
      </c>
      <c r="K31">
        <f>541+3735+604+1178</f>
        <v>6058</v>
      </c>
      <c r="M31">
        <f>748+2566+2359+577+266</f>
        <v>6516</v>
      </c>
    </row>
    <row r="32" spans="1:13">
      <c r="A32" s="26"/>
      <c r="B32" s="26"/>
      <c r="C32" s="26"/>
      <c r="D32" s="29"/>
      <c r="H32" s="3" t="s">
        <v>110</v>
      </c>
      <c r="I32">
        <f>2570+1704+604+1076</f>
        <v>5954</v>
      </c>
      <c r="K32">
        <f>541+3735+604+1089</f>
        <v>5969</v>
      </c>
      <c r="M32">
        <f>748+2566+2359+577+276</f>
        <v>6526</v>
      </c>
    </row>
    <row r="33" spans="1:13">
      <c r="A33" s="26"/>
      <c r="B33" s="26"/>
      <c r="C33" s="26"/>
      <c r="D33" s="29"/>
      <c r="H33" s="3" t="s">
        <v>111</v>
      </c>
      <c r="I33">
        <f>2570+1704+1622</f>
        <v>5896</v>
      </c>
      <c r="K33">
        <f>541+3735+1658</f>
        <v>5934</v>
      </c>
      <c r="M33">
        <f>748+2566+2359+611+243</f>
        <v>6527</v>
      </c>
    </row>
    <row r="34" spans="1:13" ht="18.75">
      <c r="A34" s="7" t="s">
        <v>133</v>
      </c>
      <c r="B34" s="26"/>
      <c r="C34" s="26"/>
      <c r="D34" s="29"/>
      <c r="H34" s="3" t="s">
        <v>112</v>
      </c>
      <c r="I34">
        <f>2570+2696+225+365</f>
        <v>5856</v>
      </c>
      <c r="K34">
        <f>2570+2696+225+372</f>
        <v>5863</v>
      </c>
      <c r="M34">
        <f>748+2566+2359+611+439</f>
        <v>6723</v>
      </c>
    </row>
    <row r="35" spans="1:13">
      <c r="A35" s="30" t="s">
        <v>4</v>
      </c>
      <c r="B35" s="31" t="s">
        <v>5</v>
      </c>
      <c r="C35" s="31" t="s">
        <v>6</v>
      </c>
      <c r="D35" s="6" t="s">
        <v>132</v>
      </c>
      <c r="H35" s="3" t="s">
        <v>113</v>
      </c>
      <c r="I35">
        <f>2570+2696+225+348</f>
        <v>5839</v>
      </c>
      <c r="K35">
        <f>2570+2696+225+381</f>
        <v>5872</v>
      </c>
    </row>
    <row r="36" spans="1:13" ht="15.75">
      <c r="A36" s="26" t="s">
        <v>15</v>
      </c>
      <c r="B36" s="26">
        <v>2</v>
      </c>
      <c r="C36" s="26">
        <v>282</v>
      </c>
      <c r="D36" s="8">
        <f>C36-11</f>
        <v>271</v>
      </c>
      <c r="H36" s="3" t="s">
        <v>114</v>
      </c>
      <c r="I36">
        <f>2570+2696+451+160</f>
        <v>5877</v>
      </c>
      <c r="K36">
        <f>2570+2696+451+181</f>
        <v>5898</v>
      </c>
    </row>
    <row r="37" spans="1:13" ht="15.75">
      <c r="A37" s="26" t="s">
        <v>16</v>
      </c>
      <c r="B37" s="26">
        <v>2</v>
      </c>
      <c r="C37" s="26">
        <v>286</v>
      </c>
      <c r="D37" s="8">
        <f t="shared" ref="D37:D54" si="0">C37-11</f>
        <v>275</v>
      </c>
    </row>
    <row r="38" spans="1:13" ht="15.75">
      <c r="A38" s="26" t="s">
        <v>17</v>
      </c>
      <c r="B38" s="26">
        <v>2</v>
      </c>
      <c r="C38" s="26">
        <v>297</v>
      </c>
      <c r="D38" s="8">
        <f t="shared" si="0"/>
        <v>286</v>
      </c>
    </row>
    <row r="39" spans="1:13" ht="15.75">
      <c r="A39" s="26" t="s">
        <v>18</v>
      </c>
      <c r="B39" s="26">
        <v>2</v>
      </c>
      <c r="C39" s="26">
        <v>319</v>
      </c>
      <c r="D39" s="8">
        <f t="shared" si="0"/>
        <v>308</v>
      </c>
    </row>
    <row r="40" spans="1:13" ht="15.75">
      <c r="A40" s="26" t="s">
        <v>19</v>
      </c>
      <c r="B40" s="26">
        <v>2</v>
      </c>
      <c r="C40" s="26">
        <v>338</v>
      </c>
      <c r="D40" s="8">
        <f t="shared" si="0"/>
        <v>327</v>
      </c>
      <c r="I40" s="4" t="s">
        <v>177</v>
      </c>
      <c r="J40" s="4" t="s">
        <v>178</v>
      </c>
      <c r="K40" s="4" t="s">
        <v>95</v>
      </c>
      <c r="L40" s="4" t="s">
        <v>96</v>
      </c>
      <c r="M40" s="4" t="s">
        <v>100</v>
      </c>
    </row>
    <row r="41" spans="1:13" ht="15.75">
      <c r="A41" s="26" t="s">
        <v>20</v>
      </c>
      <c r="B41" s="26">
        <v>2</v>
      </c>
      <c r="C41" s="26">
        <v>339</v>
      </c>
      <c r="D41" s="8">
        <f t="shared" si="0"/>
        <v>328</v>
      </c>
    </row>
    <row r="42" spans="1:13" ht="15.75">
      <c r="A42" s="26" t="s">
        <v>21</v>
      </c>
      <c r="B42" s="26">
        <v>2</v>
      </c>
      <c r="C42" s="26">
        <v>350</v>
      </c>
      <c r="D42" s="8">
        <f t="shared" si="0"/>
        <v>339</v>
      </c>
      <c r="H42" s="3" t="s">
        <v>101</v>
      </c>
      <c r="I42">
        <f>5-5-10-14</f>
        <v>-24</v>
      </c>
      <c r="J42">
        <f>5-5-10-14</f>
        <v>-24</v>
      </c>
      <c r="K42">
        <f>5+0-4-8-10</f>
        <v>-17</v>
      </c>
      <c r="L42">
        <f>5+0-4-8-10</f>
        <v>-17</v>
      </c>
      <c r="M42">
        <f>2+0-3-10</f>
        <v>-11</v>
      </c>
    </row>
    <row r="43" spans="1:13" ht="15.75">
      <c r="A43" s="26" t="s">
        <v>22</v>
      </c>
      <c r="B43" s="26">
        <v>2</v>
      </c>
      <c r="C43" s="26">
        <v>385</v>
      </c>
      <c r="D43" s="8">
        <f t="shared" si="0"/>
        <v>374</v>
      </c>
      <c r="H43" s="3" t="s">
        <v>102</v>
      </c>
      <c r="I43">
        <f>5-4-10-14</f>
        <v>-23</v>
      </c>
      <c r="J43">
        <f>5-5-10-14</f>
        <v>-24</v>
      </c>
      <c r="K43">
        <f>5+1-4-8-10</f>
        <v>-16</v>
      </c>
      <c r="L43">
        <f>5+1-4-8-10</f>
        <v>-16</v>
      </c>
      <c r="M43">
        <f t="shared" ref="M43:M53" si="1">2+0-3-10</f>
        <v>-11</v>
      </c>
    </row>
    <row r="44" spans="1:13" ht="15.75">
      <c r="A44" s="26" t="s">
        <v>23</v>
      </c>
      <c r="B44" s="26">
        <v>2</v>
      </c>
      <c r="C44" s="26">
        <v>423</v>
      </c>
      <c r="D44" s="8">
        <f t="shared" si="0"/>
        <v>412</v>
      </c>
      <c r="H44" s="3" t="s">
        <v>103</v>
      </c>
      <c r="I44">
        <f>5-4-10-14</f>
        <v>-23</v>
      </c>
      <c r="J44">
        <f>5-5-10-14</f>
        <v>-24</v>
      </c>
      <c r="K44">
        <f>5+1-4-8-10</f>
        <v>-16</v>
      </c>
      <c r="L44">
        <f>5+1-4-8-10</f>
        <v>-16</v>
      </c>
      <c r="M44">
        <f t="shared" si="1"/>
        <v>-11</v>
      </c>
    </row>
    <row r="45" spans="1:13" ht="15.75">
      <c r="A45" s="26" t="s">
        <v>24</v>
      </c>
      <c r="B45" s="26">
        <v>2</v>
      </c>
      <c r="C45" s="26">
        <v>438</v>
      </c>
      <c r="D45" s="8">
        <f t="shared" si="0"/>
        <v>427</v>
      </c>
      <c r="H45" s="3" t="s">
        <v>104</v>
      </c>
      <c r="I45">
        <f>5-5-10-14</f>
        <v>-24</v>
      </c>
      <c r="J45">
        <f>5-5-10-14</f>
        <v>-24</v>
      </c>
      <c r="K45">
        <f>5+0-4-8-10</f>
        <v>-17</v>
      </c>
      <c r="L45">
        <f>5+0-4-8-10</f>
        <v>-17</v>
      </c>
      <c r="M45">
        <f t="shared" si="1"/>
        <v>-11</v>
      </c>
    </row>
    <row r="46" spans="1:13" ht="15.75">
      <c r="A46" s="26" t="s">
        <v>25</v>
      </c>
      <c r="B46" s="26">
        <v>2</v>
      </c>
      <c r="C46" s="26">
        <v>491</v>
      </c>
      <c r="D46" s="8">
        <f t="shared" si="0"/>
        <v>480</v>
      </c>
      <c r="H46" s="3" t="s">
        <v>105</v>
      </c>
      <c r="I46">
        <f>5-4-8-14</f>
        <v>-21</v>
      </c>
      <c r="J46">
        <f>5-4-8-14</f>
        <v>-21</v>
      </c>
      <c r="K46">
        <f>5+1-2-5-10</f>
        <v>-11</v>
      </c>
      <c r="L46">
        <f>5+1-2-5-10</f>
        <v>-11</v>
      </c>
      <c r="M46">
        <f t="shared" si="1"/>
        <v>-11</v>
      </c>
    </row>
    <row r="47" spans="1:13" ht="15.75">
      <c r="A47" s="26" t="s">
        <v>26</v>
      </c>
      <c r="B47" s="26">
        <v>2</v>
      </c>
      <c r="C47" s="26">
        <v>511</v>
      </c>
      <c r="D47" s="8">
        <f t="shared" si="0"/>
        <v>500</v>
      </c>
      <c r="H47" s="3" t="s">
        <v>106</v>
      </c>
      <c r="I47">
        <f>5-3-8-14</f>
        <v>-20</v>
      </c>
      <c r="J47">
        <f>5-3-8-14</f>
        <v>-20</v>
      </c>
      <c r="K47">
        <f>5+1-2-5-10</f>
        <v>-11</v>
      </c>
      <c r="L47">
        <f>5+1-2-5-10</f>
        <v>-11</v>
      </c>
      <c r="M47">
        <f t="shared" si="1"/>
        <v>-11</v>
      </c>
    </row>
    <row r="48" spans="1:13" ht="15.75">
      <c r="A48" s="26" t="s">
        <v>27</v>
      </c>
      <c r="B48" s="26">
        <v>2</v>
      </c>
      <c r="C48" s="26">
        <v>513</v>
      </c>
      <c r="D48" s="8">
        <f t="shared" si="0"/>
        <v>502</v>
      </c>
      <c r="H48" s="3" t="s">
        <v>107</v>
      </c>
      <c r="I48">
        <f>5-2-7-14</f>
        <v>-18</v>
      </c>
      <c r="J48">
        <f>5-2-7-14</f>
        <v>-18</v>
      </c>
      <c r="K48">
        <f>5+1-1-5-10</f>
        <v>-10</v>
      </c>
      <c r="L48">
        <f>5+1-1-5-10</f>
        <v>-10</v>
      </c>
      <c r="M48">
        <f t="shared" si="1"/>
        <v>-11</v>
      </c>
    </row>
    <row r="49" spans="1:13" ht="15.75">
      <c r="A49" s="26" t="s">
        <v>28</v>
      </c>
      <c r="B49" s="26">
        <v>2</v>
      </c>
      <c r="C49" s="26">
        <v>591</v>
      </c>
      <c r="D49" s="8">
        <f t="shared" si="0"/>
        <v>580</v>
      </c>
      <c r="H49" s="3" t="s">
        <v>108</v>
      </c>
      <c r="I49">
        <f>5-3-7-14</f>
        <v>-19</v>
      </c>
      <c r="J49">
        <f>5-3-7-14</f>
        <v>-19</v>
      </c>
      <c r="K49">
        <f>5+1-1-5-10</f>
        <v>-10</v>
      </c>
      <c r="L49">
        <f>5+1-1-5-10</f>
        <v>-10</v>
      </c>
      <c r="M49">
        <f t="shared" si="1"/>
        <v>-11</v>
      </c>
    </row>
    <row r="50" spans="1:13" ht="15.75">
      <c r="A50" s="26" t="s">
        <v>29</v>
      </c>
      <c r="B50" s="26">
        <v>2</v>
      </c>
      <c r="C50" s="26">
        <v>603</v>
      </c>
      <c r="D50" s="8">
        <f t="shared" si="0"/>
        <v>592</v>
      </c>
      <c r="H50" s="3" t="s">
        <v>109</v>
      </c>
      <c r="I50">
        <f>5-5-10-12</f>
        <v>-22</v>
      </c>
      <c r="K50">
        <f>5+1+0-5-10</f>
        <v>-9</v>
      </c>
      <c r="M50">
        <f t="shared" si="1"/>
        <v>-11</v>
      </c>
    </row>
    <row r="51" spans="1:13" ht="15.75">
      <c r="A51" s="26" t="s">
        <v>30</v>
      </c>
      <c r="B51" s="26">
        <v>2</v>
      </c>
      <c r="C51" s="26">
        <v>675</v>
      </c>
      <c r="D51" s="8">
        <f t="shared" si="0"/>
        <v>664</v>
      </c>
      <c r="H51" s="3" t="s">
        <v>110</v>
      </c>
      <c r="I51">
        <f>5-5-10-12</f>
        <v>-22</v>
      </c>
      <c r="K51">
        <f>5+1+0-5-10</f>
        <v>-9</v>
      </c>
      <c r="M51">
        <f t="shared" si="1"/>
        <v>-11</v>
      </c>
    </row>
    <row r="52" spans="1:13" ht="15.75">
      <c r="A52" s="26" t="s">
        <v>31</v>
      </c>
      <c r="B52" s="26">
        <v>2</v>
      </c>
      <c r="C52" s="26">
        <v>1076</v>
      </c>
      <c r="D52" s="8">
        <f t="shared" si="0"/>
        <v>1065</v>
      </c>
      <c r="H52" s="3" t="s">
        <v>111</v>
      </c>
      <c r="I52">
        <f>5-10-12</f>
        <v>-17</v>
      </c>
      <c r="K52">
        <f>5+0-5-10</f>
        <v>-10</v>
      </c>
      <c r="M52">
        <f t="shared" si="1"/>
        <v>-11</v>
      </c>
    </row>
    <row r="53" spans="1:13" ht="15.75">
      <c r="A53" s="26" t="s">
        <v>32</v>
      </c>
      <c r="B53" s="26">
        <v>2</v>
      </c>
      <c r="C53" s="26">
        <v>1089</v>
      </c>
      <c r="D53" s="8">
        <f t="shared" si="0"/>
        <v>1078</v>
      </c>
      <c r="H53" s="3" t="s">
        <v>112</v>
      </c>
      <c r="I53">
        <f>5+3+2-12</f>
        <v>-2</v>
      </c>
      <c r="K53">
        <f>5+3+2-12</f>
        <v>-2</v>
      </c>
      <c r="M53">
        <f t="shared" si="1"/>
        <v>-11</v>
      </c>
    </row>
    <row r="54" spans="1:13" ht="15.75">
      <c r="A54" s="26" t="s">
        <v>33</v>
      </c>
      <c r="B54" s="26">
        <v>2</v>
      </c>
      <c r="C54" s="26">
        <v>1178</v>
      </c>
      <c r="D54" s="8">
        <f t="shared" si="0"/>
        <v>1167</v>
      </c>
      <c r="H54" s="3" t="s">
        <v>113</v>
      </c>
      <c r="I54">
        <f t="shared" ref="I54:K55" si="2">5+3+2-12</f>
        <v>-2</v>
      </c>
      <c r="K54">
        <f t="shared" si="2"/>
        <v>-2</v>
      </c>
    </row>
    <row r="55" spans="1:13">
      <c r="A55" s="26"/>
      <c r="B55" s="26"/>
      <c r="C55" s="26"/>
      <c r="D55" s="29"/>
      <c r="H55" s="3" t="s">
        <v>114</v>
      </c>
      <c r="I55">
        <f t="shared" si="2"/>
        <v>-2</v>
      </c>
      <c r="K55">
        <f t="shared" si="2"/>
        <v>-2</v>
      </c>
    </row>
    <row r="56" spans="1:13" ht="18.75">
      <c r="A56" s="7" t="s">
        <v>134</v>
      </c>
      <c r="B56" s="26"/>
      <c r="C56" s="26"/>
      <c r="D56" s="29"/>
    </row>
    <row r="57" spans="1:13">
      <c r="A57" s="30" t="s">
        <v>4</v>
      </c>
      <c r="B57" s="31" t="s">
        <v>5</v>
      </c>
      <c r="C57" s="31" t="s">
        <v>6</v>
      </c>
      <c r="D57" s="9" t="s">
        <v>132</v>
      </c>
    </row>
    <row r="58" spans="1:13" ht="15.75">
      <c r="A58" s="26" t="s">
        <v>45</v>
      </c>
      <c r="B58" s="26">
        <v>2</v>
      </c>
      <c r="C58" s="26">
        <v>158</v>
      </c>
      <c r="D58" s="8">
        <f>C58-10</f>
        <v>148</v>
      </c>
    </row>
    <row r="59" spans="1:13" ht="15.75">
      <c r="A59" s="26" t="s">
        <v>155</v>
      </c>
      <c r="B59" s="26">
        <v>4</v>
      </c>
      <c r="C59" s="26">
        <v>159</v>
      </c>
      <c r="D59" s="8">
        <f>C59-10</f>
        <v>149</v>
      </c>
      <c r="H59" s="44"/>
      <c r="I59" s="45" t="s">
        <v>177</v>
      </c>
      <c r="J59" s="45" t="s">
        <v>178</v>
      </c>
      <c r="K59" s="45" t="s">
        <v>95</v>
      </c>
      <c r="L59" s="45" t="s">
        <v>96</v>
      </c>
      <c r="M59" s="45" t="s">
        <v>100</v>
      </c>
    </row>
    <row r="60" spans="1:13" ht="15.75">
      <c r="A60" s="26" t="s">
        <v>46</v>
      </c>
      <c r="B60" s="26">
        <v>2</v>
      </c>
      <c r="C60" s="26">
        <v>174</v>
      </c>
      <c r="D60" s="8">
        <f>C60-10</f>
        <v>164</v>
      </c>
      <c r="H60" s="44"/>
      <c r="I60" s="44"/>
      <c r="J60" s="44"/>
      <c r="K60" s="44"/>
      <c r="L60" s="44"/>
      <c r="M60" s="44"/>
    </row>
    <row r="61" spans="1:13" ht="15.75">
      <c r="A61" s="26" t="s">
        <v>47</v>
      </c>
      <c r="B61" s="26">
        <v>2</v>
      </c>
      <c r="C61" s="26">
        <v>178</v>
      </c>
      <c r="D61" s="8">
        <f>C61-10</f>
        <v>168</v>
      </c>
      <c r="H61" s="46" t="s">
        <v>101</v>
      </c>
      <c r="I61" s="44">
        <f>I23+I42</f>
        <v>6633</v>
      </c>
      <c r="J61" s="44">
        <f>J23+J42</f>
        <v>6608</v>
      </c>
      <c r="K61" s="44">
        <f>K23+K42</f>
        <v>6571</v>
      </c>
      <c r="L61" s="44">
        <f>L23+L42</f>
        <v>6643</v>
      </c>
      <c r="M61" s="44">
        <f>M23+M42</f>
        <v>7549</v>
      </c>
    </row>
    <row r="62" spans="1:13" ht="15.75">
      <c r="A62" s="26" t="s">
        <v>48</v>
      </c>
      <c r="B62" s="26">
        <v>2</v>
      </c>
      <c r="C62" s="26">
        <v>181</v>
      </c>
      <c r="D62" s="8">
        <f>C62-10</f>
        <v>171</v>
      </c>
      <c r="H62" s="46" t="s">
        <v>102</v>
      </c>
      <c r="I62" s="44">
        <f t="shared" ref="I62:M74" si="3">I24+I43</f>
        <v>6524</v>
      </c>
      <c r="J62" s="44">
        <f t="shared" si="3"/>
        <v>6497</v>
      </c>
      <c r="K62" s="44">
        <f t="shared" si="3"/>
        <v>6482</v>
      </c>
      <c r="L62" s="44">
        <f t="shared" si="3"/>
        <v>6560</v>
      </c>
      <c r="M62" s="44">
        <f t="shared" si="3"/>
        <v>7224</v>
      </c>
    </row>
    <row r="63" spans="1:13">
      <c r="A63" s="26"/>
      <c r="B63" s="26"/>
      <c r="C63" s="26"/>
      <c r="D63" s="29"/>
      <c r="H63" s="46" t="s">
        <v>103</v>
      </c>
      <c r="I63" s="44">
        <f t="shared" si="3"/>
        <v>6495</v>
      </c>
      <c r="J63" s="44">
        <f t="shared" si="3"/>
        <v>6469</v>
      </c>
      <c r="K63" s="44">
        <f t="shared" si="3"/>
        <v>6452</v>
      </c>
      <c r="L63" s="44">
        <f t="shared" si="3"/>
        <v>6525</v>
      </c>
      <c r="M63" s="44">
        <f t="shared" si="3"/>
        <v>7031</v>
      </c>
    </row>
    <row r="64" spans="1:13" ht="18.75">
      <c r="A64" s="7" t="s">
        <v>135</v>
      </c>
      <c r="B64" s="26"/>
      <c r="C64" s="26"/>
      <c r="D64" s="29"/>
      <c r="H64" s="46" t="s">
        <v>104</v>
      </c>
      <c r="I64" s="44">
        <f t="shared" si="3"/>
        <v>6546</v>
      </c>
      <c r="J64" s="44">
        <f t="shared" si="3"/>
        <v>6523</v>
      </c>
      <c r="K64" s="44">
        <f t="shared" si="3"/>
        <v>6481</v>
      </c>
      <c r="L64" s="44">
        <f t="shared" si="3"/>
        <v>6549</v>
      </c>
      <c r="M64" s="44">
        <f t="shared" si="3"/>
        <v>6964</v>
      </c>
    </row>
    <row r="65" spans="1:13">
      <c r="A65" s="30" t="s">
        <v>4</v>
      </c>
      <c r="B65" s="31" t="s">
        <v>5</v>
      </c>
      <c r="C65" s="31" t="s">
        <v>6</v>
      </c>
      <c r="D65" s="9" t="s">
        <v>132</v>
      </c>
      <c r="H65" s="46" t="s">
        <v>105</v>
      </c>
      <c r="I65" s="44">
        <f t="shared" si="3"/>
        <v>6442</v>
      </c>
      <c r="J65" s="44">
        <f t="shared" si="3"/>
        <v>6420</v>
      </c>
      <c r="K65" s="44">
        <f t="shared" si="3"/>
        <v>6404</v>
      </c>
      <c r="L65" s="44">
        <f t="shared" si="3"/>
        <v>6470</v>
      </c>
      <c r="M65" s="44">
        <f t="shared" si="3"/>
        <v>6807</v>
      </c>
    </row>
    <row r="66" spans="1:13" ht="15.75">
      <c r="A66" s="26" t="s">
        <v>156</v>
      </c>
      <c r="B66" s="26">
        <v>6</v>
      </c>
      <c r="C66" s="26">
        <v>160</v>
      </c>
      <c r="D66" s="8">
        <f>C66-8</f>
        <v>152</v>
      </c>
      <c r="H66" s="46" t="s">
        <v>106</v>
      </c>
      <c r="I66" s="44">
        <f t="shared" si="3"/>
        <v>6306</v>
      </c>
      <c r="J66" s="44">
        <f t="shared" si="3"/>
        <v>6284</v>
      </c>
      <c r="K66" s="44">
        <f t="shared" si="3"/>
        <v>6281</v>
      </c>
      <c r="L66" s="44">
        <f t="shared" si="3"/>
        <v>6345</v>
      </c>
      <c r="M66" s="44">
        <f t="shared" si="3"/>
        <v>6615</v>
      </c>
    </row>
    <row r="67" spans="1:13" ht="15.75">
      <c r="A67" s="26" t="s">
        <v>54</v>
      </c>
      <c r="B67" s="26">
        <v>2</v>
      </c>
      <c r="C67" s="26">
        <v>167</v>
      </c>
      <c r="D67" s="8">
        <f t="shared" ref="D67:D73" si="4">C67-8</f>
        <v>159</v>
      </c>
      <c r="H67" s="46" t="s">
        <v>107</v>
      </c>
      <c r="I67" s="44">
        <f t="shared" si="3"/>
        <v>6245</v>
      </c>
      <c r="J67" s="44">
        <f t="shared" si="3"/>
        <v>6226</v>
      </c>
      <c r="K67" s="44">
        <f t="shared" si="3"/>
        <v>6219</v>
      </c>
      <c r="L67" s="44">
        <f t="shared" si="3"/>
        <v>6276</v>
      </c>
      <c r="M67" s="44">
        <f t="shared" si="3"/>
        <v>6567</v>
      </c>
    </row>
    <row r="68" spans="1:13" ht="15.75">
      <c r="A68" s="26" t="s">
        <v>55</v>
      </c>
      <c r="B68" s="26">
        <v>2</v>
      </c>
      <c r="C68" s="26">
        <v>172</v>
      </c>
      <c r="D68" s="8">
        <f t="shared" si="4"/>
        <v>164</v>
      </c>
      <c r="H68" s="46" t="s">
        <v>108</v>
      </c>
      <c r="I68" s="44">
        <f t="shared" si="3"/>
        <v>6274</v>
      </c>
      <c r="J68" s="44">
        <f t="shared" si="3"/>
        <v>6258</v>
      </c>
      <c r="K68" s="44">
        <f t="shared" si="3"/>
        <v>6234</v>
      </c>
      <c r="L68" s="44">
        <f t="shared" si="3"/>
        <v>6275</v>
      </c>
      <c r="M68" s="44">
        <f t="shared" si="3"/>
        <v>6677</v>
      </c>
    </row>
    <row r="69" spans="1:13" ht="15.75">
      <c r="A69" s="26" t="s">
        <v>56</v>
      </c>
      <c r="B69" s="26">
        <v>2</v>
      </c>
      <c r="C69" s="26">
        <v>183</v>
      </c>
      <c r="D69" s="8">
        <f t="shared" si="4"/>
        <v>175</v>
      </c>
      <c r="H69" s="46" t="s">
        <v>109</v>
      </c>
      <c r="I69" s="44">
        <f t="shared" si="3"/>
        <v>6043</v>
      </c>
      <c r="J69" s="44">
        <f t="shared" si="3"/>
        <v>0</v>
      </c>
      <c r="K69" s="44">
        <f t="shared" si="3"/>
        <v>6049</v>
      </c>
      <c r="L69" s="44">
        <f t="shared" si="3"/>
        <v>0</v>
      </c>
      <c r="M69" s="44">
        <f t="shared" si="3"/>
        <v>6505</v>
      </c>
    </row>
    <row r="70" spans="1:13" ht="15.75">
      <c r="A70" s="26" t="s">
        <v>57</v>
      </c>
      <c r="B70" s="26">
        <v>2</v>
      </c>
      <c r="C70" s="26">
        <v>185</v>
      </c>
      <c r="D70" s="8">
        <f t="shared" si="4"/>
        <v>177</v>
      </c>
      <c r="H70" s="46" t="s">
        <v>110</v>
      </c>
      <c r="I70" s="44">
        <f t="shared" si="3"/>
        <v>5932</v>
      </c>
      <c r="J70" s="44">
        <f t="shared" si="3"/>
        <v>0</v>
      </c>
      <c r="K70" s="44">
        <f t="shared" si="3"/>
        <v>5960</v>
      </c>
      <c r="L70" s="44">
        <f t="shared" si="3"/>
        <v>0</v>
      </c>
      <c r="M70" s="44">
        <f t="shared" si="3"/>
        <v>6515</v>
      </c>
    </row>
    <row r="71" spans="1:13" ht="15.75">
      <c r="A71" s="26" t="s">
        <v>58</v>
      </c>
      <c r="B71" s="26">
        <v>2</v>
      </c>
      <c r="C71" s="26">
        <v>186</v>
      </c>
      <c r="D71" s="8">
        <f t="shared" si="4"/>
        <v>178</v>
      </c>
      <c r="H71" s="46" t="s">
        <v>111</v>
      </c>
      <c r="I71" s="44">
        <f t="shared" si="3"/>
        <v>5879</v>
      </c>
      <c r="J71" s="44">
        <f t="shared" si="3"/>
        <v>0</v>
      </c>
      <c r="K71" s="44">
        <f t="shared" si="3"/>
        <v>5924</v>
      </c>
      <c r="L71" s="44">
        <f t="shared" si="3"/>
        <v>0</v>
      </c>
      <c r="M71" s="44">
        <f t="shared" si="3"/>
        <v>6516</v>
      </c>
    </row>
    <row r="72" spans="1:13" ht="15.75">
      <c r="A72" s="26" t="s">
        <v>59</v>
      </c>
      <c r="B72" s="26">
        <v>2</v>
      </c>
      <c r="C72" s="26">
        <v>189</v>
      </c>
      <c r="D72" s="8">
        <f t="shared" si="4"/>
        <v>181</v>
      </c>
      <c r="H72" s="46" t="s">
        <v>112</v>
      </c>
      <c r="I72" s="44">
        <f t="shared" si="3"/>
        <v>5854</v>
      </c>
      <c r="J72" s="44">
        <f t="shared" si="3"/>
        <v>0</v>
      </c>
      <c r="K72" s="44">
        <f t="shared" si="3"/>
        <v>5861</v>
      </c>
      <c r="L72" s="44">
        <f t="shared" si="3"/>
        <v>0</v>
      </c>
      <c r="M72" s="44">
        <f t="shared" si="3"/>
        <v>6712</v>
      </c>
    </row>
    <row r="73" spans="1:13" ht="15.75">
      <c r="A73" s="26" t="s">
        <v>60</v>
      </c>
      <c r="B73" s="26">
        <v>2</v>
      </c>
      <c r="C73" s="26">
        <v>197</v>
      </c>
      <c r="D73" s="8">
        <f t="shared" si="4"/>
        <v>189</v>
      </c>
      <c r="H73" s="46" t="s">
        <v>113</v>
      </c>
      <c r="I73" s="44">
        <f t="shared" si="3"/>
        <v>5837</v>
      </c>
      <c r="J73" s="44">
        <f t="shared" si="3"/>
        <v>0</v>
      </c>
      <c r="K73" s="44">
        <f t="shared" si="3"/>
        <v>5870</v>
      </c>
      <c r="L73" s="44">
        <f t="shared" si="3"/>
        <v>0</v>
      </c>
      <c r="M73" s="44">
        <f t="shared" si="3"/>
        <v>0</v>
      </c>
    </row>
    <row r="74" spans="1:13">
      <c r="A74" s="26"/>
      <c r="B74" s="26"/>
      <c r="C74" s="26"/>
      <c r="D74" s="29"/>
      <c r="H74" s="46" t="s">
        <v>114</v>
      </c>
      <c r="I74" s="44">
        <f t="shared" si="3"/>
        <v>5875</v>
      </c>
      <c r="J74" s="44"/>
      <c r="K74" s="44">
        <f t="shared" si="3"/>
        <v>5896</v>
      </c>
      <c r="L74" s="44">
        <f t="shared" si="3"/>
        <v>0</v>
      </c>
      <c r="M74" s="44">
        <f t="shared" si="3"/>
        <v>0</v>
      </c>
    </row>
    <row r="75" spans="1:13" ht="30.75">
      <c r="A75" s="25" t="s">
        <v>162</v>
      </c>
      <c r="B75" s="26"/>
      <c r="C75" s="12"/>
      <c r="D75" s="12"/>
    </row>
    <row r="76" spans="1:13" ht="20.25">
      <c r="A76" s="27" t="s">
        <v>0</v>
      </c>
      <c r="B76" s="28"/>
      <c r="C76" s="12"/>
      <c r="D76" s="21"/>
    </row>
    <row r="77" spans="1:13">
      <c r="A77" s="26"/>
      <c r="B77" s="26"/>
      <c r="C77" s="26"/>
      <c r="D77" s="29"/>
    </row>
    <row r="78" spans="1:13">
      <c r="A78" s="26"/>
      <c r="B78" s="26"/>
      <c r="C78" s="26"/>
      <c r="D78" s="29"/>
    </row>
    <row r="79" spans="1:13">
      <c r="A79" s="26"/>
      <c r="B79" s="26"/>
      <c r="C79" s="26"/>
      <c r="D79" s="29"/>
    </row>
    <row r="80" spans="1:13">
      <c r="A80" s="26"/>
      <c r="B80" s="26"/>
      <c r="C80" s="26"/>
      <c r="D80" s="29"/>
    </row>
    <row r="81" spans="1:4">
      <c r="A81" s="26"/>
      <c r="B81" s="26"/>
      <c r="C81" s="26"/>
      <c r="D81" s="29"/>
    </row>
    <row r="82" spans="1:4">
      <c r="A82" s="26"/>
      <c r="B82" s="26"/>
      <c r="C82" s="26"/>
      <c r="D82" s="29"/>
    </row>
    <row r="83" spans="1:4">
      <c r="A83" s="26"/>
      <c r="B83" s="26"/>
      <c r="C83" s="26"/>
      <c r="D83" s="29"/>
    </row>
    <row r="84" spans="1:4">
      <c r="A84" s="26"/>
      <c r="B84" s="26"/>
      <c r="C84" s="26"/>
      <c r="D84" s="29"/>
    </row>
    <row r="85" spans="1:4">
      <c r="A85" s="26"/>
      <c r="B85" s="26"/>
      <c r="C85" s="26"/>
      <c r="D85" s="29"/>
    </row>
    <row r="86" spans="1:4">
      <c r="A86" s="26"/>
      <c r="B86" s="26"/>
      <c r="C86" s="26"/>
      <c r="D86" s="29"/>
    </row>
    <row r="87" spans="1:4">
      <c r="A87" s="26"/>
      <c r="B87" s="26"/>
      <c r="C87" s="26"/>
      <c r="D87" s="29"/>
    </row>
    <row r="88" spans="1:4" ht="20.25">
      <c r="A88" s="10" t="s">
        <v>136</v>
      </c>
      <c r="B88" s="26"/>
      <c r="C88" s="26"/>
      <c r="D88" s="29"/>
    </row>
    <row r="89" spans="1:4">
      <c r="A89" s="30" t="s">
        <v>4</v>
      </c>
      <c r="B89" s="31" t="s">
        <v>5</v>
      </c>
      <c r="C89" s="31" t="s">
        <v>6</v>
      </c>
      <c r="D89" s="6" t="s">
        <v>137</v>
      </c>
    </row>
    <row r="90" spans="1:4" ht="15.75">
      <c r="A90" s="26" t="s">
        <v>12</v>
      </c>
      <c r="B90" s="26">
        <v>2</v>
      </c>
      <c r="C90" s="26">
        <v>2284</v>
      </c>
      <c r="D90" s="8">
        <f>C90+50</f>
        <v>2334</v>
      </c>
    </row>
    <row r="91" spans="1:4">
      <c r="A91" s="26"/>
      <c r="B91" s="26"/>
      <c r="C91" s="26"/>
      <c r="D91" s="29"/>
    </row>
    <row r="92" spans="1:4" ht="20.25">
      <c r="A92" s="13" t="s">
        <v>197</v>
      </c>
      <c r="B92" s="26"/>
      <c r="C92" s="26"/>
      <c r="D92" s="29"/>
    </row>
    <row r="93" spans="1:4">
      <c r="A93" s="30" t="s">
        <v>4</v>
      </c>
      <c r="B93" s="31" t="s">
        <v>5</v>
      </c>
      <c r="C93" s="31" t="s">
        <v>6</v>
      </c>
      <c r="D93" s="6" t="s">
        <v>137</v>
      </c>
    </row>
    <row r="94" spans="1:4" ht="15.75">
      <c r="A94" s="26" t="s">
        <v>67</v>
      </c>
      <c r="B94" s="26">
        <v>2</v>
      </c>
      <c r="C94" s="26">
        <v>160</v>
      </c>
      <c r="D94" s="8">
        <f>C94+45</f>
        <v>205</v>
      </c>
    </row>
    <row r="95" spans="1:4" ht="15.75">
      <c r="A95" s="26" t="s">
        <v>68</v>
      </c>
      <c r="B95" s="26">
        <v>2</v>
      </c>
      <c r="C95" s="26">
        <v>181</v>
      </c>
      <c r="D95" s="8">
        <f t="shared" ref="D95:D112" si="5">C95+45</f>
        <v>226</v>
      </c>
    </row>
    <row r="96" spans="1:4" ht="15.75">
      <c r="A96" s="26" t="s">
        <v>69</v>
      </c>
      <c r="B96" s="26">
        <v>2</v>
      </c>
      <c r="C96" s="26">
        <v>225</v>
      </c>
      <c r="D96" s="8">
        <f t="shared" si="5"/>
        <v>270</v>
      </c>
    </row>
    <row r="97" spans="1:4" ht="15.75">
      <c r="A97" s="26" t="s">
        <v>70</v>
      </c>
      <c r="B97" s="26">
        <v>2</v>
      </c>
      <c r="C97" s="26">
        <v>243</v>
      </c>
      <c r="D97" s="8">
        <f t="shared" si="5"/>
        <v>288</v>
      </c>
    </row>
    <row r="98" spans="1:4" ht="15.75">
      <c r="A98" s="26" t="s">
        <v>71</v>
      </c>
      <c r="B98" s="26">
        <v>2</v>
      </c>
      <c r="C98" s="26">
        <v>266</v>
      </c>
      <c r="D98" s="8">
        <f t="shared" si="5"/>
        <v>311</v>
      </c>
    </row>
    <row r="99" spans="1:4" ht="15.75">
      <c r="A99" s="26" t="s">
        <v>72</v>
      </c>
      <c r="B99" s="26">
        <v>2</v>
      </c>
      <c r="C99" s="26">
        <v>271</v>
      </c>
      <c r="D99" s="8">
        <f t="shared" si="5"/>
        <v>316</v>
      </c>
    </row>
    <row r="100" spans="1:4" ht="15.75">
      <c r="A100" s="26" t="s">
        <v>73</v>
      </c>
      <c r="B100" s="26">
        <v>2</v>
      </c>
      <c r="C100" s="26">
        <v>273</v>
      </c>
      <c r="D100" s="8">
        <f t="shared" si="5"/>
        <v>318</v>
      </c>
    </row>
    <row r="101" spans="1:4" ht="15.75">
      <c r="A101" s="26" t="s">
        <v>74</v>
      </c>
      <c r="B101" s="26">
        <v>2</v>
      </c>
      <c r="C101" s="26">
        <v>276</v>
      </c>
      <c r="D101" s="8">
        <f t="shared" si="5"/>
        <v>321</v>
      </c>
    </row>
    <row r="102" spans="1:4" ht="15.75">
      <c r="A102" s="26" t="s">
        <v>75</v>
      </c>
      <c r="B102" s="26">
        <v>2</v>
      </c>
      <c r="C102" s="26">
        <v>305</v>
      </c>
      <c r="D102" s="8">
        <f t="shared" si="5"/>
        <v>350</v>
      </c>
    </row>
    <row r="103" spans="1:4" ht="15.75">
      <c r="A103" s="26" t="s">
        <v>76</v>
      </c>
      <c r="B103" s="26">
        <v>2</v>
      </c>
      <c r="C103" s="26">
        <v>337</v>
      </c>
      <c r="D103" s="8">
        <f t="shared" si="5"/>
        <v>382</v>
      </c>
    </row>
    <row r="104" spans="1:4" ht="15.75">
      <c r="A104" s="26" t="s">
        <v>77</v>
      </c>
      <c r="B104" s="26">
        <v>2</v>
      </c>
      <c r="C104" s="26">
        <v>348</v>
      </c>
      <c r="D104" s="8">
        <f t="shared" si="5"/>
        <v>393</v>
      </c>
    </row>
    <row r="105" spans="1:4" ht="15.75">
      <c r="A105" s="26" t="s">
        <v>78</v>
      </c>
      <c r="B105" s="26">
        <v>2</v>
      </c>
      <c r="C105" s="26">
        <v>365</v>
      </c>
      <c r="D105" s="8">
        <f t="shared" si="5"/>
        <v>410</v>
      </c>
    </row>
    <row r="106" spans="1:4" ht="15.75">
      <c r="A106" s="26" t="s">
        <v>79</v>
      </c>
      <c r="B106" s="26">
        <v>2</v>
      </c>
      <c r="C106" s="26">
        <v>372</v>
      </c>
      <c r="D106" s="8">
        <f t="shared" si="5"/>
        <v>417</v>
      </c>
    </row>
    <row r="107" spans="1:4" ht="15.75">
      <c r="A107" s="26" t="s">
        <v>157</v>
      </c>
      <c r="B107" s="26">
        <v>4</v>
      </c>
      <c r="C107" s="26">
        <v>381</v>
      </c>
      <c r="D107" s="8">
        <f t="shared" si="5"/>
        <v>426</v>
      </c>
    </row>
    <row r="108" spans="1:4" ht="15.75">
      <c r="A108" s="26" t="s">
        <v>80</v>
      </c>
      <c r="B108" s="26">
        <v>2</v>
      </c>
      <c r="C108" s="26">
        <v>404</v>
      </c>
      <c r="D108" s="8">
        <f t="shared" si="5"/>
        <v>449</v>
      </c>
    </row>
    <row r="109" spans="1:4" ht="15.75">
      <c r="A109" s="26" t="s">
        <v>81</v>
      </c>
      <c r="B109" s="26">
        <v>2</v>
      </c>
      <c r="C109" s="26">
        <v>439</v>
      </c>
      <c r="D109" s="8">
        <f t="shared" si="5"/>
        <v>484</v>
      </c>
    </row>
    <row r="110" spans="1:4" ht="15.75">
      <c r="A110" s="26" t="s">
        <v>82</v>
      </c>
      <c r="B110" s="26">
        <v>2</v>
      </c>
      <c r="C110" s="26">
        <v>451</v>
      </c>
      <c r="D110" s="8">
        <f t="shared" si="5"/>
        <v>496</v>
      </c>
    </row>
    <row r="111" spans="1:4" ht="15.75">
      <c r="A111" s="26" t="s">
        <v>83</v>
      </c>
      <c r="B111" s="26">
        <v>2</v>
      </c>
      <c r="C111" s="26">
        <v>465</v>
      </c>
      <c r="D111" s="8">
        <f t="shared" si="5"/>
        <v>510</v>
      </c>
    </row>
    <row r="112" spans="1:4" ht="15.75">
      <c r="A112" s="26" t="s">
        <v>84</v>
      </c>
      <c r="B112" s="26">
        <v>2</v>
      </c>
      <c r="C112" s="26">
        <v>630</v>
      </c>
      <c r="D112" s="8">
        <f t="shared" si="5"/>
        <v>675</v>
      </c>
    </row>
    <row r="113" spans="1:4">
      <c r="A113" s="26"/>
      <c r="B113" s="26"/>
      <c r="C113" s="26"/>
      <c r="D113" s="29"/>
    </row>
    <row r="114" spans="1:4" ht="30.75">
      <c r="A114" s="25" t="s">
        <v>162</v>
      </c>
      <c r="B114" s="26"/>
      <c r="C114" s="12"/>
      <c r="D114" s="12"/>
    </row>
    <row r="115" spans="1:4" ht="20.25">
      <c r="A115" s="27" t="s">
        <v>0</v>
      </c>
      <c r="B115" s="28"/>
      <c r="C115" s="12"/>
      <c r="D115" s="21"/>
    </row>
    <row r="116" spans="1:4" ht="23.25">
      <c r="A116" s="20"/>
      <c r="B116" s="12"/>
      <c r="C116" s="12"/>
      <c r="D116" s="21"/>
    </row>
    <row r="117" spans="1:4" ht="23.25">
      <c r="A117" s="20"/>
      <c r="B117" s="12"/>
      <c r="C117" s="12"/>
      <c r="D117" s="21"/>
    </row>
    <row r="118" spans="1:4" ht="23.25">
      <c r="A118" s="20"/>
      <c r="B118" s="12"/>
      <c r="C118" s="12"/>
      <c r="D118" s="21"/>
    </row>
    <row r="119" spans="1:4">
      <c r="A119" s="26"/>
      <c r="B119" s="26"/>
      <c r="C119" s="26"/>
      <c r="D119" s="29"/>
    </row>
    <row r="120" spans="1:4">
      <c r="A120" s="26"/>
      <c r="B120" s="26"/>
      <c r="C120" s="26"/>
      <c r="D120" s="29"/>
    </row>
    <row r="121" spans="1:4">
      <c r="A121" s="26"/>
      <c r="B121" s="26"/>
      <c r="C121" s="26"/>
      <c r="D121" s="29"/>
    </row>
    <row r="122" spans="1:4">
      <c r="A122" s="26"/>
      <c r="B122" s="26"/>
      <c r="C122" s="26"/>
      <c r="D122" s="29"/>
    </row>
    <row r="123" spans="1:4">
      <c r="A123" s="26"/>
      <c r="B123" s="26"/>
      <c r="C123" s="26"/>
      <c r="D123" s="29"/>
    </row>
    <row r="124" spans="1:4">
      <c r="A124" s="26"/>
      <c r="B124" s="26"/>
      <c r="C124" s="26"/>
      <c r="D124" s="29"/>
    </row>
    <row r="125" spans="1:4">
      <c r="A125" s="26"/>
      <c r="B125" s="26"/>
      <c r="C125" s="26"/>
      <c r="D125" s="29"/>
    </row>
    <row r="126" spans="1:4">
      <c r="A126" s="26"/>
      <c r="B126" s="26"/>
      <c r="C126" s="26"/>
      <c r="D126" s="29"/>
    </row>
    <row r="127" spans="1:4">
      <c r="A127" s="26"/>
      <c r="B127" s="26"/>
      <c r="C127" s="26"/>
      <c r="D127" s="29"/>
    </row>
    <row r="128" spans="1:4">
      <c r="A128" s="26"/>
      <c r="B128" s="26"/>
      <c r="C128" s="26"/>
      <c r="D128" s="29"/>
    </row>
    <row r="129" spans="1:4" ht="18.75">
      <c r="A129" s="7" t="s">
        <v>138</v>
      </c>
      <c r="B129" s="26"/>
      <c r="C129" s="26"/>
      <c r="D129" s="29"/>
    </row>
    <row r="130" spans="1:4" ht="16.5">
      <c r="A130" s="14" t="s">
        <v>139</v>
      </c>
      <c r="B130" s="26"/>
      <c r="C130" s="26"/>
      <c r="D130" s="29"/>
    </row>
    <row r="131" spans="1:4">
      <c r="A131" s="30" t="s">
        <v>4</v>
      </c>
      <c r="B131" s="31" t="s">
        <v>5</v>
      </c>
      <c r="C131" s="31" t="s">
        <v>6</v>
      </c>
      <c r="D131" s="6" t="s">
        <v>132</v>
      </c>
    </row>
    <row r="132" spans="1:4" ht="15.75">
      <c r="A132" s="26" t="s">
        <v>34</v>
      </c>
      <c r="B132" s="26">
        <v>2</v>
      </c>
      <c r="C132" s="26">
        <v>604</v>
      </c>
      <c r="D132" s="8">
        <f>C132+1</f>
        <v>605</v>
      </c>
    </row>
    <row r="133" spans="1:4" ht="15.75">
      <c r="A133" s="26" t="s">
        <v>35</v>
      </c>
      <c r="B133" s="26">
        <v>2</v>
      </c>
      <c r="C133" s="26">
        <v>721</v>
      </c>
      <c r="D133" s="8">
        <f t="shared" ref="D133:D142" si="6">C133+1</f>
        <v>722</v>
      </c>
    </row>
    <row r="134" spans="1:4" ht="15.75">
      <c r="A134" s="26" t="s">
        <v>158</v>
      </c>
      <c r="B134" s="26">
        <v>6</v>
      </c>
      <c r="C134" s="26">
        <v>811</v>
      </c>
      <c r="D134" s="8">
        <f t="shared" si="6"/>
        <v>812</v>
      </c>
    </row>
    <row r="135" spans="1:4" ht="15.75">
      <c r="A135" s="26" t="s">
        <v>36</v>
      </c>
      <c r="B135" s="26">
        <v>2</v>
      </c>
      <c r="C135" s="26">
        <v>857</v>
      </c>
      <c r="D135" s="8">
        <f t="shared" si="6"/>
        <v>858</v>
      </c>
    </row>
    <row r="136" spans="1:4" ht="15.75">
      <c r="A136" s="26" t="s">
        <v>37</v>
      </c>
      <c r="B136" s="26">
        <v>2</v>
      </c>
      <c r="C136" s="26">
        <v>902</v>
      </c>
      <c r="D136" s="8">
        <f t="shared" si="6"/>
        <v>903</v>
      </c>
    </row>
    <row r="137" spans="1:4" ht="15.75">
      <c r="A137" s="26" t="s">
        <v>38</v>
      </c>
      <c r="B137" s="26">
        <v>2</v>
      </c>
      <c r="C137" s="26">
        <v>1622</v>
      </c>
      <c r="D137" s="8">
        <f t="shared" si="6"/>
        <v>1623</v>
      </c>
    </row>
    <row r="138" spans="1:4" ht="15.75">
      <c r="A138" s="26" t="s">
        <v>39</v>
      </c>
      <c r="B138" s="26">
        <v>2</v>
      </c>
      <c r="C138" s="26">
        <v>1658</v>
      </c>
      <c r="D138" s="8">
        <f t="shared" si="6"/>
        <v>1659</v>
      </c>
    </row>
    <row r="139" spans="1:4" ht="15.75">
      <c r="A139" s="26" t="s">
        <v>40</v>
      </c>
      <c r="B139" s="26">
        <v>2</v>
      </c>
      <c r="C139" s="26">
        <v>2173</v>
      </c>
      <c r="D139" s="8">
        <f t="shared" si="6"/>
        <v>2174</v>
      </c>
    </row>
    <row r="140" spans="1:4" ht="15.75">
      <c r="A140" s="26" t="s">
        <v>41</v>
      </c>
      <c r="B140" s="26">
        <v>2</v>
      </c>
      <c r="C140" s="32">
        <v>2359</v>
      </c>
      <c r="D140" s="8">
        <f t="shared" si="6"/>
        <v>2360</v>
      </c>
    </row>
    <row r="141" spans="1:4" ht="15.75">
      <c r="A141" s="26" t="s">
        <v>42</v>
      </c>
      <c r="B141" s="26">
        <v>2</v>
      </c>
      <c r="C141" s="26">
        <v>2377</v>
      </c>
      <c r="D141" s="8">
        <f t="shared" si="6"/>
        <v>2378</v>
      </c>
    </row>
    <row r="142" spans="1:4" ht="15.75">
      <c r="A142" s="26" t="s">
        <v>43</v>
      </c>
      <c r="B142" s="26">
        <v>2</v>
      </c>
      <c r="C142" s="26">
        <v>2696</v>
      </c>
      <c r="D142" s="8">
        <f t="shared" si="6"/>
        <v>2697</v>
      </c>
    </row>
    <row r="143" spans="1:4" ht="15.75">
      <c r="A143" s="26" t="s">
        <v>44</v>
      </c>
      <c r="B143" s="26">
        <v>2</v>
      </c>
      <c r="C143" s="26">
        <v>3735</v>
      </c>
      <c r="D143" s="8">
        <f>C143+1</f>
        <v>3736</v>
      </c>
    </row>
    <row r="144" spans="1:4">
      <c r="A144" s="26"/>
      <c r="B144" s="26"/>
      <c r="C144" s="26"/>
      <c r="D144" s="29"/>
    </row>
    <row r="145" spans="1:4" ht="18.75">
      <c r="A145" s="7" t="s">
        <v>140</v>
      </c>
      <c r="B145" s="26"/>
      <c r="C145" s="26"/>
      <c r="D145" s="29"/>
    </row>
    <row r="146" spans="1:4" ht="16.5">
      <c r="A146" s="14" t="s">
        <v>139</v>
      </c>
      <c r="B146" s="26"/>
      <c r="C146" s="26"/>
      <c r="D146" s="29"/>
    </row>
    <row r="147" spans="1:4">
      <c r="A147" s="30" t="s">
        <v>4</v>
      </c>
      <c r="B147" s="31" t="s">
        <v>5</v>
      </c>
      <c r="C147" s="31" t="s">
        <v>6</v>
      </c>
      <c r="D147" s="6" t="s">
        <v>132</v>
      </c>
    </row>
    <row r="148" spans="1:4" ht="15.75">
      <c r="A148" s="26" t="s">
        <v>49</v>
      </c>
      <c r="B148" s="26">
        <v>2</v>
      </c>
      <c r="C148" s="26">
        <v>681</v>
      </c>
      <c r="D148" s="8">
        <f>C148+1</f>
        <v>682</v>
      </c>
    </row>
    <row r="149" spans="1:4" ht="15.75">
      <c r="A149" s="26" t="s">
        <v>50</v>
      </c>
      <c r="B149" s="26">
        <v>2</v>
      </c>
      <c r="C149" s="26">
        <v>857</v>
      </c>
      <c r="D149" s="8">
        <f>C149+1</f>
        <v>858</v>
      </c>
    </row>
    <row r="150" spans="1:4" ht="15.75">
      <c r="A150" s="26" t="s">
        <v>51</v>
      </c>
      <c r="B150" s="26">
        <v>2</v>
      </c>
      <c r="C150" s="26">
        <v>915</v>
      </c>
      <c r="D150" s="8">
        <f>C150+1</f>
        <v>916</v>
      </c>
    </row>
    <row r="151" spans="1:4" ht="15.75">
      <c r="A151" s="26" t="s">
        <v>52</v>
      </c>
      <c r="B151" s="26">
        <v>2</v>
      </c>
      <c r="C151" s="26">
        <v>947</v>
      </c>
      <c r="D151" s="8">
        <f>C151+1</f>
        <v>948</v>
      </c>
    </row>
    <row r="152" spans="1:4" ht="15.75">
      <c r="A152" s="26" t="s">
        <v>53</v>
      </c>
      <c r="B152" s="26">
        <v>2</v>
      </c>
      <c r="C152" s="26">
        <v>1187</v>
      </c>
      <c r="D152" s="8">
        <f>C152+1</f>
        <v>1188</v>
      </c>
    </row>
    <row r="153" spans="1:4">
      <c r="A153" s="26"/>
      <c r="B153" s="26"/>
      <c r="C153" s="26"/>
      <c r="D153" s="29"/>
    </row>
    <row r="154" spans="1:4" ht="18.75">
      <c r="A154" s="7" t="s">
        <v>135</v>
      </c>
      <c r="B154" s="26"/>
      <c r="C154" s="26"/>
      <c r="D154" s="29"/>
    </row>
    <row r="155" spans="1:4" ht="16.5">
      <c r="A155" s="14" t="s">
        <v>141</v>
      </c>
      <c r="B155" s="26"/>
      <c r="C155" s="26"/>
      <c r="D155" s="29"/>
    </row>
    <row r="156" spans="1:4">
      <c r="A156" s="30" t="s">
        <v>4</v>
      </c>
      <c r="B156" s="31" t="s">
        <v>5</v>
      </c>
      <c r="C156" s="31" t="s">
        <v>6</v>
      </c>
      <c r="D156" s="6" t="s">
        <v>132</v>
      </c>
    </row>
    <row r="157" spans="1:4" ht="15.75">
      <c r="A157" s="26" t="s">
        <v>61</v>
      </c>
      <c r="B157" s="26">
        <v>2</v>
      </c>
      <c r="C157" s="26">
        <v>827</v>
      </c>
      <c r="D157" s="8">
        <f>C157+4</f>
        <v>831</v>
      </c>
    </row>
    <row r="158" spans="1:4" ht="15.75">
      <c r="A158" s="26" t="s">
        <v>62</v>
      </c>
      <c r="B158" s="26">
        <v>2</v>
      </c>
      <c r="C158" s="26">
        <v>830</v>
      </c>
      <c r="D158" s="8">
        <f t="shared" ref="D158:D163" si="7">C158+4</f>
        <v>834</v>
      </c>
    </row>
    <row r="159" spans="1:4" ht="15.75">
      <c r="A159" s="26" t="s">
        <v>63</v>
      </c>
      <c r="B159" s="26">
        <v>2</v>
      </c>
      <c r="C159" s="26">
        <v>949</v>
      </c>
      <c r="D159" s="8">
        <f t="shared" si="7"/>
        <v>953</v>
      </c>
    </row>
    <row r="160" spans="1:4" ht="15.75">
      <c r="A160" s="26" t="s">
        <v>64</v>
      </c>
      <c r="B160" s="26">
        <v>2</v>
      </c>
      <c r="C160" s="26">
        <v>956</v>
      </c>
      <c r="D160" s="8">
        <f t="shared" si="7"/>
        <v>960</v>
      </c>
    </row>
    <row r="161" spans="1:4" ht="15.75">
      <c r="A161" s="26" t="s">
        <v>159</v>
      </c>
      <c r="B161" s="26">
        <v>4</v>
      </c>
      <c r="C161" s="26">
        <v>1005</v>
      </c>
      <c r="D161" s="8">
        <f t="shared" si="7"/>
        <v>1009</v>
      </c>
    </row>
    <row r="162" spans="1:4" ht="15.75">
      <c r="A162" s="26" t="s">
        <v>65</v>
      </c>
      <c r="B162" s="26">
        <v>2</v>
      </c>
      <c r="C162" s="26">
        <v>1072</v>
      </c>
      <c r="D162" s="8">
        <f t="shared" si="7"/>
        <v>1076</v>
      </c>
    </row>
    <row r="163" spans="1:4" ht="15.75">
      <c r="A163" s="26" t="s">
        <v>66</v>
      </c>
      <c r="B163" s="26">
        <v>2</v>
      </c>
      <c r="C163" s="26">
        <v>1100</v>
      </c>
      <c r="D163" s="8">
        <f t="shared" si="7"/>
        <v>1104</v>
      </c>
    </row>
    <row r="164" spans="1:4">
      <c r="A164" s="26"/>
      <c r="B164" s="26"/>
      <c r="C164" s="26"/>
      <c r="D164" s="29"/>
    </row>
    <row r="165" spans="1:4" ht="30.75">
      <c r="A165" s="25" t="s">
        <v>162</v>
      </c>
      <c r="B165" s="26"/>
      <c r="C165" s="12"/>
      <c r="D165" s="12"/>
    </row>
    <row r="166" spans="1:4" ht="20.25">
      <c r="A166" s="27" t="s">
        <v>0</v>
      </c>
      <c r="B166" s="28"/>
      <c r="C166" s="12"/>
      <c r="D166" s="21"/>
    </row>
    <row r="167" spans="1:4">
      <c r="A167" s="26"/>
      <c r="B167" s="26"/>
      <c r="C167" s="26"/>
      <c r="D167" s="29"/>
    </row>
    <row r="168" spans="1:4">
      <c r="A168" s="26"/>
      <c r="B168" s="26"/>
      <c r="C168" s="26"/>
      <c r="D168" s="29"/>
    </row>
    <row r="169" spans="1:4">
      <c r="A169" s="26"/>
      <c r="B169" s="26"/>
      <c r="C169" s="26"/>
      <c r="D169" s="29"/>
    </row>
    <row r="170" spans="1:4">
      <c r="A170" s="26"/>
      <c r="B170" s="26"/>
      <c r="C170" s="26"/>
      <c r="D170" s="29"/>
    </row>
    <row r="171" spans="1:4">
      <c r="A171" s="26"/>
      <c r="B171" s="26"/>
      <c r="C171" s="26"/>
      <c r="D171" s="29"/>
    </row>
    <row r="172" spans="1:4">
      <c r="A172" s="26"/>
      <c r="B172" s="26"/>
      <c r="C172" s="26"/>
      <c r="D172" s="29"/>
    </row>
    <row r="173" spans="1:4">
      <c r="A173" s="26"/>
      <c r="B173" s="26"/>
      <c r="C173" s="26"/>
      <c r="D173" s="29"/>
    </row>
    <row r="174" spans="1:4">
      <c r="A174" s="26"/>
      <c r="B174" s="26"/>
      <c r="C174" s="26"/>
      <c r="D174" s="29"/>
    </row>
    <row r="175" spans="1:4">
      <c r="A175" s="26"/>
      <c r="B175" s="26"/>
      <c r="C175" s="26"/>
      <c r="D175" s="29"/>
    </row>
    <row r="176" spans="1:4">
      <c r="A176" s="26"/>
      <c r="B176" s="26"/>
      <c r="C176" s="26"/>
      <c r="D176" s="29"/>
    </row>
    <row r="177" spans="1:4">
      <c r="A177" s="26"/>
      <c r="B177" s="26"/>
      <c r="C177" s="26"/>
      <c r="D177" s="29"/>
    </row>
    <row r="178" spans="1:4">
      <c r="A178" s="26"/>
      <c r="B178" s="26"/>
      <c r="C178" s="26"/>
      <c r="D178" s="29"/>
    </row>
    <row r="179" spans="1:4">
      <c r="A179" s="26"/>
      <c r="B179" s="26"/>
      <c r="C179" s="26"/>
      <c r="D179" s="29"/>
    </row>
    <row r="180" spans="1:4">
      <c r="A180" s="26"/>
      <c r="B180" s="26"/>
      <c r="C180" s="26"/>
      <c r="D180" s="29"/>
    </row>
    <row r="181" spans="1:4">
      <c r="A181" s="26"/>
      <c r="B181" s="26"/>
      <c r="C181" s="26"/>
      <c r="D181" s="29"/>
    </row>
    <row r="182" spans="1:4">
      <c r="A182" s="26"/>
      <c r="B182" s="26"/>
      <c r="C182" s="26"/>
      <c r="D182" s="29"/>
    </row>
    <row r="183" spans="1:4" ht="23.25">
      <c r="A183" s="11" t="s">
        <v>197</v>
      </c>
      <c r="B183" s="26"/>
      <c r="C183" s="26"/>
      <c r="D183" s="29"/>
    </row>
    <row r="184" spans="1:4" ht="16.5">
      <c r="A184" s="14" t="s">
        <v>144</v>
      </c>
      <c r="B184" s="26"/>
      <c r="C184" s="26"/>
      <c r="D184" s="29"/>
    </row>
    <row r="185" spans="1:4">
      <c r="A185" s="30" t="s">
        <v>4</v>
      </c>
      <c r="B185" s="31" t="s">
        <v>5</v>
      </c>
      <c r="C185" s="31" t="s">
        <v>6</v>
      </c>
      <c r="D185" s="6" t="s">
        <v>132</v>
      </c>
    </row>
    <row r="186" spans="1:4" ht="15.75">
      <c r="A186" s="26" t="s">
        <v>85</v>
      </c>
      <c r="B186" s="26">
        <v>2</v>
      </c>
      <c r="C186" s="26">
        <v>577</v>
      </c>
      <c r="D186" s="8">
        <f t="shared" ref="D186:D191" si="8">C186+61</f>
        <v>638</v>
      </c>
    </row>
    <row r="187" spans="1:4" ht="15.75">
      <c r="A187" s="26" t="s">
        <v>86</v>
      </c>
      <c r="B187" s="26">
        <v>2</v>
      </c>
      <c r="C187" s="26">
        <v>611</v>
      </c>
      <c r="D187" s="8">
        <f t="shared" si="8"/>
        <v>672</v>
      </c>
    </row>
    <row r="188" spans="1:4" ht="15.75">
      <c r="A188" s="26" t="s">
        <v>87</v>
      </c>
      <c r="B188" s="26">
        <v>2</v>
      </c>
      <c r="C188" s="26">
        <v>820</v>
      </c>
      <c r="D188" s="8">
        <f t="shared" si="8"/>
        <v>881</v>
      </c>
    </row>
    <row r="189" spans="1:4" ht="15.75">
      <c r="A189" s="26" t="s">
        <v>88</v>
      </c>
      <c r="B189" s="26">
        <v>2</v>
      </c>
      <c r="C189" s="26">
        <v>866</v>
      </c>
      <c r="D189" s="8">
        <f t="shared" si="8"/>
        <v>927</v>
      </c>
    </row>
    <row r="190" spans="1:4" ht="15.75">
      <c r="A190" s="26" t="s">
        <v>89</v>
      </c>
      <c r="B190" s="26">
        <v>2</v>
      </c>
      <c r="C190" s="26">
        <v>947</v>
      </c>
      <c r="D190" s="8">
        <f t="shared" si="8"/>
        <v>1008</v>
      </c>
    </row>
    <row r="191" spans="1:4" ht="15.75">
      <c r="A191" s="26" t="s">
        <v>90</v>
      </c>
      <c r="B191" s="26">
        <v>2</v>
      </c>
      <c r="C191" s="26">
        <v>1239</v>
      </c>
      <c r="D191" s="8">
        <f t="shared" si="8"/>
        <v>1300</v>
      </c>
    </row>
    <row r="192" spans="1:4">
      <c r="A192" s="26"/>
      <c r="B192" s="26"/>
      <c r="C192" s="26"/>
      <c r="D192" s="29"/>
    </row>
    <row r="193" spans="1:4" ht="18.75">
      <c r="A193" s="7" t="s">
        <v>142</v>
      </c>
      <c r="B193" s="26"/>
      <c r="C193" s="26"/>
      <c r="D193" s="29"/>
    </row>
    <row r="194" spans="1:4" ht="16.5">
      <c r="A194" s="14" t="s">
        <v>143</v>
      </c>
      <c r="B194" s="26"/>
      <c r="C194" s="26"/>
      <c r="D194" s="29"/>
    </row>
    <row r="195" spans="1:4">
      <c r="A195" s="30" t="s">
        <v>4</v>
      </c>
      <c r="B195" s="31" t="s">
        <v>5</v>
      </c>
      <c r="C195" s="31" t="s">
        <v>6</v>
      </c>
      <c r="D195" s="6" t="s">
        <v>132</v>
      </c>
    </row>
    <row r="196" spans="1:4" ht="15.75">
      <c r="A196" s="26" t="s">
        <v>8</v>
      </c>
      <c r="B196" s="26">
        <v>2</v>
      </c>
      <c r="C196" s="26">
        <v>500</v>
      </c>
      <c r="D196" s="8">
        <f>C196+69</f>
        <v>569</v>
      </c>
    </row>
    <row r="197" spans="1:4" ht="15.75">
      <c r="A197" s="26" t="s">
        <v>9</v>
      </c>
      <c r="B197" s="26">
        <v>2</v>
      </c>
      <c r="C197" s="26">
        <v>604</v>
      </c>
      <c r="D197" s="8">
        <f>C197+69</f>
        <v>673</v>
      </c>
    </row>
    <row r="198" spans="1:4" ht="15.75">
      <c r="A198" s="26" t="s">
        <v>10</v>
      </c>
      <c r="B198" s="26">
        <v>2</v>
      </c>
      <c r="C198" s="26">
        <v>1126</v>
      </c>
      <c r="D198" s="8">
        <f>C198+69</f>
        <v>1195</v>
      </c>
    </row>
    <row r="199" spans="1:4" ht="15.75">
      <c r="A199" s="26" t="s">
        <v>11</v>
      </c>
      <c r="B199" s="26">
        <v>2</v>
      </c>
      <c r="C199" s="26">
        <v>1199</v>
      </c>
      <c r="D199" s="8">
        <f>C199+69</f>
        <v>1268</v>
      </c>
    </row>
    <row r="200" spans="1:4">
      <c r="A200" s="26"/>
      <c r="B200" s="26"/>
      <c r="C200" s="26"/>
      <c r="D200" s="29"/>
    </row>
    <row r="201" spans="1:4" ht="18.75">
      <c r="A201" s="7" t="s">
        <v>145</v>
      </c>
      <c r="B201" s="26"/>
      <c r="C201" s="26"/>
      <c r="D201" s="29"/>
    </row>
    <row r="202" spans="1:4" ht="16.5">
      <c r="A202" s="14" t="s">
        <v>146</v>
      </c>
      <c r="B202" s="26"/>
      <c r="C202" s="26"/>
      <c r="D202" s="29"/>
    </row>
    <row r="203" spans="1:4">
      <c r="A203" s="30" t="s">
        <v>4</v>
      </c>
      <c r="B203" s="31" t="s">
        <v>5</v>
      </c>
      <c r="C203" s="31" t="s">
        <v>6</v>
      </c>
      <c r="D203" s="6" t="s">
        <v>132</v>
      </c>
    </row>
    <row r="204" spans="1:4" ht="15.75">
      <c r="A204" s="26" t="s">
        <v>13</v>
      </c>
      <c r="B204" s="26">
        <v>2</v>
      </c>
      <c r="C204" s="26">
        <v>648</v>
      </c>
      <c r="D204" s="8">
        <f>C204+66</f>
        <v>714</v>
      </c>
    </row>
    <row r="205" spans="1:4" ht="15.75">
      <c r="A205" s="26" t="s">
        <v>160</v>
      </c>
      <c r="B205" s="26">
        <v>4</v>
      </c>
      <c r="C205" s="26">
        <v>735</v>
      </c>
      <c r="D205" s="8">
        <f>C205+66</f>
        <v>801</v>
      </c>
    </row>
    <row r="206" spans="1:4" ht="15.75">
      <c r="A206" s="26" t="s">
        <v>14</v>
      </c>
      <c r="B206" s="26">
        <v>2</v>
      </c>
      <c r="C206" s="26">
        <v>1704</v>
      </c>
      <c r="D206" s="8">
        <f>C206+66</f>
        <v>1770</v>
      </c>
    </row>
    <row r="207" spans="1:4">
      <c r="A207" s="26"/>
      <c r="B207" s="26"/>
      <c r="C207" s="26"/>
      <c r="D207" s="29"/>
    </row>
    <row r="208" spans="1:4" ht="30.75">
      <c r="A208" s="25" t="s">
        <v>162</v>
      </c>
      <c r="B208" s="26"/>
      <c r="C208" s="12"/>
      <c r="D208" s="12"/>
    </row>
    <row r="209" spans="1:4" ht="20.25">
      <c r="A209" s="27" t="s">
        <v>0</v>
      </c>
      <c r="B209" s="28"/>
      <c r="C209" s="12"/>
      <c r="D209" s="21"/>
    </row>
    <row r="210" spans="1:4" ht="23.25">
      <c r="A210" s="20"/>
      <c r="B210" s="12"/>
      <c r="C210" s="12"/>
      <c r="D210" s="21"/>
    </row>
    <row r="211" spans="1:4" ht="23.25">
      <c r="A211" s="20"/>
      <c r="B211" s="12"/>
      <c r="C211" s="12"/>
      <c r="D211" s="21"/>
    </row>
    <row r="212" spans="1:4" ht="23.25">
      <c r="A212" s="20"/>
      <c r="B212" s="12"/>
      <c r="C212" s="12"/>
      <c r="D212" s="21"/>
    </row>
    <row r="213" spans="1:4" ht="23.25">
      <c r="A213" s="20"/>
      <c r="B213" s="12"/>
      <c r="C213" s="12"/>
      <c r="D213" s="21"/>
    </row>
    <row r="214" spans="1:4" ht="23.25">
      <c r="A214" s="20"/>
      <c r="B214" s="12"/>
      <c r="C214" s="12"/>
      <c r="D214" s="21"/>
    </row>
    <row r="215" spans="1:4" ht="23.25">
      <c r="A215" s="20"/>
      <c r="B215" s="12"/>
      <c r="C215" s="12"/>
      <c r="D215" s="21"/>
    </row>
    <row r="216" spans="1:4" ht="23.25">
      <c r="A216" s="20"/>
      <c r="B216" s="12"/>
      <c r="C216" s="12"/>
      <c r="D216" s="21"/>
    </row>
    <row r="217" spans="1:4" ht="23.25">
      <c r="A217" s="20"/>
      <c r="B217" s="12"/>
      <c r="C217" s="12"/>
      <c r="D217" s="21"/>
    </row>
    <row r="218" spans="1:4">
      <c r="A218" s="26"/>
      <c r="B218" s="26"/>
      <c r="C218" s="26"/>
      <c r="D218" s="29"/>
    </row>
    <row r="219" spans="1:4">
      <c r="A219" s="26"/>
      <c r="B219" s="26"/>
      <c r="C219" s="26"/>
      <c r="D219" s="29"/>
    </row>
    <row r="220" spans="1:4">
      <c r="A220" s="26"/>
      <c r="B220" s="26"/>
      <c r="C220" s="26"/>
      <c r="D220" s="29"/>
    </row>
    <row r="221" spans="1:4">
      <c r="A221" s="26"/>
      <c r="B221" s="26"/>
      <c r="C221" s="26"/>
      <c r="D221" s="29"/>
    </row>
    <row r="222" spans="1:4" ht="20.25">
      <c r="A222" s="10" t="s">
        <v>147</v>
      </c>
      <c r="B222" s="26"/>
      <c r="C222" s="26"/>
      <c r="D222" s="29"/>
    </row>
    <row r="223" spans="1:4" ht="17.25">
      <c r="A223" s="15" t="s">
        <v>148</v>
      </c>
      <c r="B223" s="26"/>
      <c r="C223" s="26"/>
      <c r="D223" s="29"/>
    </row>
    <row r="224" spans="1:4" ht="16.5">
      <c r="A224" s="30" t="s">
        <v>4</v>
      </c>
      <c r="B224" s="31" t="s">
        <v>5</v>
      </c>
      <c r="C224" s="31" t="s">
        <v>6</v>
      </c>
      <c r="D224" s="16" t="s">
        <v>137</v>
      </c>
    </row>
    <row r="225" spans="1:4" ht="16.5">
      <c r="A225" s="67" t="s">
        <v>189</v>
      </c>
      <c r="B225" s="26">
        <v>2</v>
      </c>
      <c r="C225" s="26">
        <v>4455</v>
      </c>
      <c r="D225" s="22">
        <f>C225+64</f>
        <v>4519</v>
      </c>
    </row>
    <row r="226" spans="1:4">
      <c r="A226" s="26"/>
      <c r="B226" s="26"/>
      <c r="C226" s="26"/>
      <c r="D226" s="29"/>
    </row>
    <row r="227" spans="1:4" ht="20.25">
      <c r="A227" s="10" t="s">
        <v>136</v>
      </c>
      <c r="B227" s="26"/>
      <c r="C227" s="26"/>
      <c r="D227" s="29"/>
    </row>
    <row r="228" spans="1:4" ht="17.25">
      <c r="A228" s="15" t="s">
        <v>149</v>
      </c>
      <c r="B228" s="26"/>
      <c r="C228" s="26"/>
      <c r="D228" s="29"/>
    </row>
    <row r="229" spans="1:4" ht="16.5">
      <c r="A229" s="30" t="s">
        <v>4</v>
      </c>
      <c r="B229" s="31" t="s">
        <v>5</v>
      </c>
      <c r="C229" s="31" t="s">
        <v>6</v>
      </c>
      <c r="D229" s="16" t="s">
        <v>137</v>
      </c>
    </row>
    <row r="230" spans="1:4" ht="16.5">
      <c r="A230" s="67" t="s">
        <v>187</v>
      </c>
      <c r="B230" s="26">
        <v>2</v>
      </c>
      <c r="C230" s="26">
        <v>2570</v>
      </c>
      <c r="D230" s="17">
        <f>C230+60</f>
        <v>2630</v>
      </c>
    </row>
    <row r="231" spans="1:4" ht="16.5">
      <c r="A231" s="67" t="s">
        <v>188</v>
      </c>
      <c r="B231" s="26">
        <v>2</v>
      </c>
      <c r="C231" s="26">
        <v>4123</v>
      </c>
      <c r="D231" s="17">
        <f>C231+60</f>
        <v>4183</v>
      </c>
    </row>
    <row r="232" spans="1:4">
      <c r="A232" s="26"/>
      <c r="B232" s="26"/>
      <c r="C232" s="26"/>
      <c r="D232" s="29"/>
    </row>
    <row r="233" spans="1:4" ht="20.25">
      <c r="A233" s="10" t="s">
        <v>150</v>
      </c>
      <c r="B233" s="26"/>
      <c r="C233" s="26"/>
      <c r="D233" s="29"/>
    </row>
    <row r="234" spans="1:4" ht="17.25">
      <c r="A234" s="15" t="s">
        <v>190</v>
      </c>
      <c r="B234" s="26"/>
      <c r="C234" s="26"/>
      <c r="D234" s="29"/>
    </row>
    <row r="235" spans="1:4" ht="16.5">
      <c r="A235" s="30" t="s">
        <v>4</v>
      </c>
      <c r="B235" s="31" t="s">
        <v>5</v>
      </c>
      <c r="C235" s="31" t="s">
        <v>6</v>
      </c>
      <c r="D235" s="16" t="s">
        <v>151</v>
      </c>
    </row>
    <row r="236" spans="1:4" ht="16.5">
      <c r="A236" s="67" t="s">
        <v>185</v>
      </c>
      <c r="B236" s="26">
        <v>2</v>
      </c>
      <c r="C236" s="26">
        <v>4526</v>
      </c>
      <c r="D236" s="8">
        <f>C236+64</f>
        <v>4590</v>
      </c>
    </row>
    <row r="237" spans="1:4" ht="16.5">
      <c r="A237" s="67" t="s">
        <v>186</v>
      </c>
      <c r="B237" s="26">
        <v>2</v>
      </c>
      <c r="C237" s="26">
        <v>4670</v>
      </c>
      <c r="D237" s="8">
        <f>C237+64</f>
        <v>4734</v>
      </c>
    </row>
    <row r="238" spans="1:4">
      <c r="A238" s="26"/>
      <c r="B238" s="26"/>
      <c r="C238" s="26"/>
      <c r="D238" s="29"/>
    </row>
    <row r="239" spans="1:4" ht="30.75">
      <c r="A239" s="25" t="s">
        <v>162</v>
      </c>
      <c r="B239" s="26"/>
      <c r="C239" s="12"/>
      <c r="D239" s="12"/>
    </row>
    <row r="240" spans="1:4" ht="20.25">
      <c r="A240" s="27" t="s">
        <v>0</v>
      </c>
      <c r="B240" s="28"/>
      <c r="C240" s="12"/>
      <c r="D240" s="21"/>
    </row>
    <row r="241" spans="1:4">
      <c r="A241" s="26"/>
      <c r="B241" s="26"/>
      <c r="C241" s="26"/>
      <c r="D241" s="29"/>
    </row>
    <row r="242" spans="1:4">
      <c r="A242" s="26"/>
      <c r="B242" s="26"/>
      <c r="C242" s="26"/>
      <c r="D242" s="29"/>
    </row>
    <row r="243" spans="1:4">
      <c r="A243" s="26"/>
      <c r="B243" s="26"/>
      <c r="C243" s="26"/>
      <c r="D243" s="29"/>
    </row>
    <row r="244" spans="1:4">
      <c r="A244" s="26"/>
      <c r="B244" s="26"/>
      <c r="C244" s="26"/>
      <c r="D244" s="29"/>
    </row>
    <row r="245" spans="1:4">
      <c r="A245" s="26"/>
      <c r="B245" s="26"/>
      <c r="C245" s="26"/>
      <c r="D245" s="29"/>
    </row>
    <row r="246" spans="1:4">
      <c r="A246" s="26"/>
      <c r="B246" s="26"/>
      <c r="C246" s="26"/>
      <c r="D246" s="29"/>
    </row>
    <row r="247" spans="1:4">
      <c r="A247" s="26"/>
      <c r="B247" s="26"/>
      <c r="C247" s="26"/>
      <c r="D247" s="29"/>
    </row>
    <row r="248" spans="1:4">
      <c r="A248" s="26"/>
      <c r="B248" s="26"/>
      <c r="C248" s="26"/>
      <c r="D248" s="29"/>
    </row>
    <row r="249" spans="1:4">
      <c r="A249" s="26"/>
      <c r="B249" s="26"/>
      <c r="C249" s="26"/>
      <c r="D249" s="29"/>
    </row>
    <row r="250" spans="1:4">
      <c r="A250" s="26"/>
      <c r="B250" s="26"/>
      <c r="C250" s="26"/>
      <c r="D250" s="29"/>
    </row>
    <row r="251" spans="1:4">
      <c r="A251" s="26"/>
      <c r="B251" s="26"/>
      <c r="C251" s="26"/>
      <c r="D251" s="29"/>
    </row>
    <row r="252" spans="1:4">
      <c r="A252" s="26"/>
      <c r="B252" s="26"/>
      <c r="C252" s="26"/>
      <c r="D252" s="29"/>
    </row>
    <row r="253" spans="1:4">
      <c r="A253" s="26"/>
      <c r="B253" s="26"/>
      <c r="C253" s="26"/>
      <c r="D253" s="29"/>
    </row>
    <row r="254" spans="1:4" ht="17.25">
      <c r="A254" s="18" t="s">
        <v>152</v>
      </c>
      <c r="B254" s="26"/>
      <c r="C254" s="26"/>
      <c r="D254" s="29"/>
    </row>
    <row r="255" spans="1:4">
      <c r="A255" s="30" t="s">
        <v>4</v>
      </c>
      <c r="B255" s="31" t="s">
        <v>5</v>
      </c>
      <c r="C255" s="31" t="s">
        <v>6</v>
      </c>
      <c r="D255" s="6" t="s">
        <v>132</v>
      </c>
    </row>
    <row r="256" spans="1:4" ht="15.75">
      <c r="A256" s="26" t="s">
        <v>91</v>
      </c>
      <c r="B256" s="26">
        <v>2</v>
      </c>
      <c r="C256" s="26">
        <v>541</v>
      </c>
      <c r="D256" s="68">
        <f>C256+60</f>
        <v>601</v>
      </c>
    </row>
    <row r="257" spans="1:4">
      <c r="A257" s="26"/>
      <c r="B257" s="26"/>
      <c r="C257" s="26"/>
      <c r="D257" s="29"/>
    </row>
    <row r="258" spans="1:4">
      <c r="A258" s="26"/>
      <c r="B258" s="26"/>
      <c r="C258" s="26"/>
      <c r="D258" s="29"/>
    </row>
    <row r="259" spans="1:4">
      <c r="A259" s="26"/>
      <c r="B259" s="26"/>
      <c r="C259" s="26"/>
      <c r="D259" s="29"/>
    </row>
    <row r="260" spans="1:4">
      <c r="A260" s="26"/>
      <c r="B260" s="26"/>
      <c r="C260" s="26"/>
      <c r="D260" s="29"/>
    </row>
    <row r="261" spans="1:4">
      <c r="A261" s="26"/>
      <c r="B261" s="26"/>
      <c r="C261" s="26"/>
      <c r="D261" s="29"/>
    </row>
    <row r="262" spans="1:4">
      <c r="A262" s="26"/>
      <c r="B262" s="26"/>
      <c r="C262" s="26"/>
      <c r="D262" s="29"/>
    </row>
    <row r="263" spans="1:4">
      <c r="A263" s="26"/>
      <c r="B263" s="26"/>
      <c r="C263" s="26"/>
      <c r="D263" s="29"/>
    </row>
    <row r="264" spans="1:4">
      <c r="A264" s="26"/>
      <c r="B264" s="26"/>
      <c r="C264" s="26"/>
      <c r="D264" s="29"/>
    </row>
    <row r="265" spans="1:4">
      <c r="A265" s="26"/>
      <c r="B265" s="26"/>
      <c r="C265" s="26"/>
      <c r="D265" s="29"/>
    </row>
    <row r="266" spans="1:4">
      <c r="A266" s="26"/>
      <c r="B266" s="26"/>
      <c r="C266" s="26"/>
      <c r="D266" s="29"/>
    </row>
    <row r="267" spans="1:4">
      <c r="A267" s="26"/>
      <c r="B267" s="26"/>
      <c r="C267" s="26"/>
      <c r="D267" s="29"/>
    </row>
    <row r="268" spans="1:4">
      <c r="A268" s="26"/>
      <c r="B268" s="26"/>
      <c r="C268" s="26"/>
      <c r="D268" s="29"/>
    </row>
    <row r="269" spans="1:4">
      <c r="A269" s="26"/>
      <c r="B269" s="26"/>
      <c r="C269" s="26"/>
      <c r="D269" s="29"/>
    </row>
    <row r="270" spans="1:4">
      <c r="A270" s="26"/>
      <c r="B270" s="26"/>
      <c r="C270" s="26"/>
      <c r="D270" s="29"/>
    </row>
    <row r="271" spans="1:4">
      <c r="A271" s="26"/>
      <c r="B271" s="26"/>
      <c r="C271" s="26"/>
      <c r="D271" s="29"/>
    </row>
    <row r="272" spans="1:4" ht="23.25">
      <c r="A272" s="76" t="s">
        <v>153</v>
      </c>
      <c r="B272" s="76"/>
      <c r="C272" s="76"/>
      <c r="D272" s="76"/>
    </row>
    <row r="273" spans="1:4">
      <c r="A273" s="77" t="s">
        <v>154</v>
      </c>
      <c r="B273" s="77"/>
      <c r="C273" s="77"/>
      <c r="D273" s="77"/>
    </row>
    <row r="274" spans="1:4" ht="38.25" customHeight="1">
      <c r="A274" s="77"/>
      <c r="B274" s="77"/>
      <c r="C274" s="77"/>
      <c r="D274" s="77"/>
    </row>
    <row r="275" spans="1:4" ht="38.25" customHeight="1">
      <c r="A275" s="35"/>
      <c r="B275" s="35"/>
      <c r="C275" s="35"/>
      <c r="D275" s="35"/>
    </row>
    <row r="276" spans="1:4" s="19" customFormat="1">
      <c r="A276" s="34"/>
      <c r="B276" s="34"/>
      <c r="C276" s="34"/>
      <c r="D276" s="34"/>
    </row>
    <row r="277" spans="1:4" s="19" customFormat="1">
      <c r="A277" s="34"/>
      <c r="B277" s="34"/>
      <c r="C277" s="34"/>
      <c r="D277" s="34"/>
    </row>
    <row r="278" spans="1:4" s="19" customFormat="1">
      <c r="A278" s="34"/>
      <c r="B278" s="34"/>
      <c r="C278" s="34"/>
      <c r="D278" s="34"/>
    </row>
    <row r="279" spans="1:4" s="19" customFormat="1">
      <c r="A279" s="34"/>
      <c r="B279" s="34"/>
      <c r="C279" s="34"/>
      <c r="D279" s="34"/>
    </row>
    <row r="280" spans="1:4" s="19" customFormat="1">
      <c r="A280" s="34"/>
      <c r="B280" s="34"/>
      <c r="C280" s="34"/>
      <c r="D280" s="34"/>
    </row>
    <row r="281" spans="1:4" s="19" customFormat="1">
      <c r="A281" s="34"/>
      <c r="B281" s="34"/>
      <c r="C281" s="34"/>
      <c r="D281" s="34"/>
    </row>
    <row r="282" spans="1:4" s="19" customFormat="1">
      <c r="A282" s="34"/>
      <c r="B282" s="34"/>
      <c r="C282" s="34"/>
      <c r="D282" s="34"/>
    </row>
    <row r="283" spans="1:4" s="19" customFormat="1">
      <c r="A283" s="34"/>
      <c r="B283" s="34"/>
      <c r="C283" s="34"/>
      <c r="D283" s="34"/>
    </row>
  </sheetData>
  <mergeCells count="2">
    <mergeCell ref="A272:D272"/>
    <mergeCell ref="A273:D274"/>
  </mergeCells>
  <phoneticPr fontId="0" type="noConversion"/>
  <printOptions gridLines="1"/>
  <pageMargins left="0.84" right="0.12" top="0.12" bottom="0.3" header="0.12" footer="0.12"/>
  <pageSetup orientation="portrait" verticalDpi="0" r:id="rId1"/>
  <headerFooter>
    <oddFooter>&amp;CPage &amp;P of &amp;N&amp;RZENO ALPS - XS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32"/>
  <sheetViews>
    <sheetView zoomScaleNormal="100" workbookViewId="0">
      <selection activeCell="U1" sqref="U1"/>
    </sheetView>
  </sheetViews>
  <sheetFormatPr defaultRowHeight="15.75"/>
  <cols>
    <col min="1" max="1" width="4.5703125" style="72" customWidth="1"/>
    <col min="2" max="2" width="5.140625" style="72" customWidth="1"/>
    <col min="3" max="4" width="5.140625" customWidth="1"/>
    <col min="5" max="6" width="5.140625" style="72" customWidth="1"/>
    <col min="7" max="8" width="5.140625" customWidth="1"/>
    <col min="9" max="10" width="5.140625" style="72" customWidth="1"/>
    <col min="11" max="12" width="5.140625" customWidth="1"/>
    <col min="13" max="13" width="5.140625" style="72" customWidth="1"/>
    <col min="14" max="14" width="4.7109375" style="72" customWidth="1"/>
    <col min="15" max="15" width="5.5703125" customWidth="1"/>
    <col min="16" max="16" width="5.140625" customWidth="1"/>
    <col min="17" max="17" width="3.7109375" style="72" customWidth="1"/>
    <col min="18" max="18" width="7.28515625" style="72" customWidth="1"/>
    <col min="19" max="19" width="5.140625" customWidth="1"/>
    <col min="20" max="20" width="5" customWidth="1"/>
    <col min="21" max="23" width="5.140625" customWidth="1"/>
  </cols>
  <sheetData>
    <row r="1" spans="1:20" ht="33.75" customHeight="1">
      <c r="A1" s="73">
        <f ca="1">'Line details'!D189</f>
        <v>927</v>
      </c>
      <c r="B1" s="71">
        <f ca="1">'Line details'!C189</f>
        <v>866</v>
      </c>
      <c r="C1" s="23" t="str">
        <f ca="1">'Line details'!A189</f>
        <v>KMU3</v>
      </c>
      <c r="D1" s="24" t="s">
        <v>163</v>
      </c>
      <c r="E1" s="73">
        <f ca="1">'Line details'!D142</f>
        <v>2697</v>
      </c>
      <c r="F1" s="71">
        <f ca="1">'Line details'!C142</f>
        <v>2696</v>
      </c>
      <c r="G1" s="23" t="str">
        <f ca="1">'Line details'!A142</f>
        <v>AML2</v>
      </c>
      <c r="H1" s="24" t="s">
        <v>163</v>
      </c>
      <c r="I1" s="73">
        <f ca="1">'Line details'!D101</f>
        <v>321</v>
      </c>
      <c r="J1" s="71">
        <f ca="1">'Line details'!C101</f>
        <v>276</v>
      </c>
      <c r="K1" s="23" t="str">
        <f ca="1">'Line details'!A101</f>
        <v>K10</v>
      </c>
      <c r="L1" s="24" t="s">
        <v>163</v>
      </c>
      <c r="M1" s="73">
        <f ca="1">'Line details'!D59</f>
        <v>149</v>
      </c>
      <c r="N1" s="71">
        <f ca="1">'Line details'!C59</f>
        <v>159</v>
      </c>
      <c r="O1" s="23" t="str">
        <f ca="1">'Line details'!A59</f>
        <v>A6b,A7b</v>
      </c>
      <c r="P1" s="24" t="s">
        <v>163</v>
      </c>
      <c r="Q1" s="73">
        <f ca="1">'Line details'!D16</f>
        <v>1190</v>
      </c>
      <c r="R1" s="69" t="s">
        <v>161</v>
      </c>
      <c r="S1" s="23" t="str">
        <f ca="1">'Line details'!A16</f>
        <v>KRL</v>
      </c>
      <c r="T1" s="24" t="s">
        <v>163</v>
      </c>
    </row>
    <row r="2" spans="1:20" ht="33.75" customHeight="1">
      <c r="A2" s="73">
        <f ca="1">'Line details'!D190</f>
        <v>1008</v>
      </c>
      <c r="B2" s="71">
        <f ca="1">'Line details'!C190</f>
        <v>947</v>
      </c>
      <c r="C2" s="23" t="str">
        <f ca="1">'Line details'!A190</f>
        <v>KMU2</v>
      </c>
      <c r="D2" s="24" t="s">
        <v>163</v>
      </c>
      <c r="E2" s="73">
        <f ca="1">'Line details'!D143</f>
        <v>3736</v>
      </c>
      <c r="F2" s="71">
        <f ca="1">'Line details'!C143</f>
        <v>3735</v>
      </c>
      <c r="G2" s="23" t="str">
        <f ca="1">'Line details'!A143</f>
        <v>BRU3</v>
      </c>
      <c r="H2" s="24" t="s">
        <v>163</v>
      </c>
      <c r="I2" s="73">
        <f ca="1">'Line details'!D102</f>
        <v>350</v>
      </c>
      <c r="J2" s="71">
        <f ca="1">'Line details'!C102</f>
        <v>305</v>
      </c>
      <c r="K2" s="23" t="str">
        <f ca="1">'Line details'!A102</f>
        <v>K2</v>
      </c>
      <c r="L2" s="24" t="s">
        <v>163</v>
      </c>
      <c r="M2" s="73">
        <f ca="1">'Line details'!D60</f>
        <v>164</v>
      </c>
      <c r="N2" s="71">
        <f ca="1">'Line details'!C60</f>
        <v>174</v>
      </c>
      <c r="O2" s="23" t="str">
        <f ca="1">'Line details'!A60</f>
        <v>A8a</v>
      </c>
      <c r="P2" s="24" t="s">
        <v>163</v>
      </c>
      <c r="Q2" s="73"/>
      <c r="R2" s="70"/>
      <c r="S2" s="23"/>
      <c r="T2" s="24" t="s">
        <v>163</v>
      </c>
    </row>
    <row r="3" spans="1:20" ht="33.75" customHeight="1">
      <c r="A3" s="73">
        <f ca="1">'Line details'!D191</f>
        <v>1300</v>
      </c>
      <c r="B3" s="71">
        <f ca="1">'Line details'!C191</f>
        <v>1239</v>
      </c>
      <c r="C3" s="23" t="str">
        <f ca="1">'Line details'!A191</f>
        <v>KMU1</v>
      </c>
      <c r="D3" s="24" t="s">
        <v>163</v>
      </c>
      <c r="E3" s="73">
        <f ca="1">'Line details'!D144</f>
        <v>0</v>
      </c>
      <c r="F3" s="71">
        <f ca="1">'Line details'!C144</f>
        <v>0</v>
      </c>
      <c r="G3" s="23">
        <f ca="1">'Line details'!A144</f>
        <v>0</v>
      </c>
      <c r="H3" s="24" t="s">
        <v>163</v>
      </c>
      <c r="I3" s="73">
        <f ca="1">'Line details'!D103</f>
        <v>382</v>
      </c>
      <c r="J3" s="71">
        <f ca="1">'Line details'!C103</f>
        <v>337</v>
      </c>
      <c r="K3" s="23" t="str">
        <f ca="1">'Line details'!A103</f>
        <v>K4</v>
      </c>
      <c r="L3" s="24" t="s">
        <v>163</v>
      </c>
      <c r="M3" s="73">
        <f ca="1">'Line details'!D61</f>
        <v>168</v>
      </c>
      <c r="N3" s="71">
        <f ca="1">'Line details'!C61</f>
        <v>178</v>
      </c>
      <c r="O3" s="23" t="str">
        <f ca="1">'Line details'!A61</f>
        <v>A7a</v>
      </c>
      <c r="P3" s="24" t="s">
        <v>163</v>
      </c>
      <c r="Q3" s="73">
        <f ca="1">'Line details'!D36</f>
        <v>271</v>
      </c>
      <c r="R3" s="71">
        <f ca="1">'Line details'!C36</f>
        <v>282</v>
      </c>
      <c r="S3" s="23" t="str">
        <f ca="1">'Line details'!A36</f>
        <v>B7</v>
      </c>
      <c r="T3" s="24" t="s">
        <v>163</v>
      </c>
    </row>
    <row r="4" spans="1:20" ht="33.75" customHeight="1">
      <c r="A4" s="73">
        <f ca="1">'Line details'!D192</f>
        <v>0</v>
      </c>
      <c r="B4" s="71">
        <f ca="1">'Line details'!C192</f>
        <v>0</v>
      </c>
      <c r="C4" s="23">
        <f ca="1">'Line details'!A192</f>
        <v>0</v>
      </c>
      <c r="D4" s="24" t="s">
        <v>163</v>
      </c>
      <c r="E4" s="73">
        <f ca="1">'Line details'!D148</f>
        <v>682</v>
      </c>
      <c r="F4" s="71">
        <f ca="1">'Line details'!C148</f>
        <v>681</v>
      </c>
      <c r="G4" s="23" t="str">
        <f ca="1">'Line details'!A148</f>
        <v>BM4</v>
      </c>
      <c r="H4" s="24" t="s">
        <v>163</v>
      </c>
      <c r="I4" s="73">
        <f ca="1">'Line details'!D104</f>
        <v>393</v>
      </c>
      <c r="J4" s="71">
        <f ca="1">'Line details'!C104</f>
        <v>348</v>
      </c>
      <c r="K4" s="23" t="str">
        <f ca="1">'Line details'!A104</f>
        <v>A13</v>
      </c>
      <c r="L4" s="24" t="s">
        <v>163</v>
      </c>
      <c r="M4" s="73">
        <f ca="1">'Line details'!D62</f>
        <v>171</v>
      </c>
      <c r="N4" s="71">
        <f ca="1">'Line details'!C62</f>
        <v>181</v>
      </c>
      <c r="O4" s="23" t="str">
        <f ca="1">'Line details'!A62</f>
        <v>A6a</v>
      </c>
      <c r="P4" s="24" t="s">
        <v>163</v>
      </c>
      <c r="Q4" s="73">
        <f ca="1">'Line details'!D37</f>
        <v>275</v>
      </c>
      <c r="R4" s="71">
        <f ca="1">'Line details'!C37</f>
        <v>286</v>
      </c>
      <c r="S4" s="23" t="str">
        <f ca="1">'Line details'!A37</f>
        <v>B6</v>
      </c>
      <c r="T4" s="24" t="s">
        <v>163</v>
      </c>
    </row>
    <row r="5" spans="1:20" ht="33.75" customHeight="1">
      <c r="A5" s="73">
        <f ca="1">'Line details'!D196</f>
        <v>569</v>
      </c>
      <c r="B5" s="71">
        <f ca="1">'Line details'!C196</f>
        <v>500</v>
      </c>
      <c r="C5" s="23" t="str">
        <f ca="1">'Line details'!A196</f>
        <v>AM4</v>
      </c>
      <c r="D5" s="24" t="s">
        <v>163</v>
      </c>
      <c r="E5" s="73">
        <f ca="1">'Line details'!D149</f>
        <v>858</v>
      </c>
      <c r="F5" s="71">
        <f ca="1">'Line details'!C149</f>
        <v>857</v>
      </c>
      <c r="G5" s="23" t="str">
        <f ca="1">'Line details'!A149</f>
        <v>BMU1</v>
      </c>
      <c r="H5" s="24" t="s">
        <v>163</v>
      </c>
      <c r="I5" s="73">
        <f ca="1">'Line details'!D105</f>
        <v>410</v>
      </c>
      <c r="J5" s="71">
        <f ca="1">'Line details'!C105</f>
        <v>365</v>
      </c>
      <c r="K5" s="23" t="str">
        <f ca="1">'Line details'!A105</f>
        <v>A12</v>
      </c>
      <c r="L5" s="24" t="s">
        <v>163</v>
      </c>
      <c r="M5" s="73">
        <f ca="1">'Line details'!D63</f>
        <v>0</v>
      </c>
      <c r="N5" s="71">
        <f ca="1">'Line details'!C63</f>
        <v>0</v>
      </c>
      <c r="O5" s="23">
        <f ca="1">'Line details'!A63</f>
        <v>0</v>
      </c>
      <c r="P5" s="24" t="s">
        <v>163</v>
      </c>
      <c r="Q5" s="73">
        <f ca="1">'Line details'!D38</f>
        <v>286</v>
      </c>
      <c r="R5" s="71">
        <f ca="1">'Line details'!C38</f>
        <v>297</v>
      </c>
      <c r="S5" s="23" t="str">
        <f ca="1">'Line details'!A38</f>
        <v>B8</v>
      </c>
      <c r="T5" s="24" t="s">
        <v>163</v>
      </c>
    </row>
    <row r="6" spans="1:20" ht="36.75" customHeight="1">
      <c r="A6" s="73">
        <f ca="1">'Line details'!D197</f>
        <v>673</v>
      </c>
      <c r="B6" s="71">
        <f ca="1">'Line details'!C197</f>
        <v>604</v>
      </c>
      <c r="C6" s="23" t="str">
        <f ca="1">'Line details'!A197</f>
        <v>AM5</v>
      </c>
      <c r="D6" s="24" t="s">
        <v>163</v>
      </c>
      <c r="E6" s="73">
        <f ca="1">'Line details'!D150</f>
        <v>916</v>
      </c>
      <c r="F6" s="71">
        <f ca="1">'Line details'!C150</f>
        <v>915</v>
      </c>
      <c r="G6" s="23" t="str">
        <f ca="1">'Line details'!A150</f>
        <v>A7</v>
      </c>
      <c r="H6" s="24" t="s">
        <v>163</v>
      </c>
      <c r="I6" s="73">
        <f ca="1">'Line details'!D106</f>
        <v>417</v>
      </c>
      <c r="J6" s="71">
        <f ca="1">'Line details'!C106</f>
        <v>372</v>
      </c>
      <c r="K6" s="23" t="str">
        <f ca="1">'Line details'!A106</f>
        <v>B12</v>
      </c>
      <c r="L6" s="24" t="s">
        <v>163</v>
      </c>
      <c r="M6" s="73">
        <f ca="1">'Line details'!D66</f>
        <v>152</v>
      </c>
      <c r="N6" s="71">
        <f ca="1">'Line details'!C66</f>
        <v>160</v>
      </c>
      <c r="O6" s="23" t="str">
        <f ca="1">'Line details'!A66</f>
        <v>A2b,A3b,A4b</v>
      </c>
      <c r="P6" s="24" t="s">
        <v>163</v>
      </c>
      <c r="Q6" s="73">
        <f ca="1">'Line details'!D39</f>
        <v>308</v>
      </c>
      <c r="R6" s="71">
        <f ca="1">'Line details'!C39</f>
        <v>319</v>
      </c>
      <c r="S6" s="23" t="str">
        <f ca="1">'Line details'!A39</f>
        <v>B5</v>
      </c>
      <c r="T6" s="24" t="s">
        <v>163</v>
      </c>
    </row>
    <row r="7" spans="1:20" ht="33.75" customHeight="1">
      <c r="A7" s="73">
        <f ca="1">'Line details'!D198</f>
        <v>1195</v>
      </c>
      <c r="B7" s="71">
        <f ca="1">'Line details'!C198</f>
        <v>1126</v>
      </c>
      <c r="C7" s="23" t="str">
        <f ca="1">'Line details'!A198</f>
        <v>A4</v>
      </c>
      <c r="D7" s="24" t="s">
        <v>163</v>
      </c>
      <c r="E7" s="73">
        <f ca="1">'Line details'!D151</f>
        <v>948</v>
      </c>
      <c r="F7" s="71">
        <f ca="1">'Line details'!C151</f>
        <v>947</v>
      </c>
      <c r="G7" s="23" t="str">
        <f ca="1">'Line details'!A151</f>
        <v>BMU4</v>
      </c>
      <c r="H7" s="24" t="s">
        <v>163</v>
      </c>
      <c r="I7" s="73">
        <f ca="1">'Line details'!D107</f>
        <v>426</v>
      </c>
      <c r="J7" s="71">
        <f ca="1">'Line details'!C107</f>
        <v>381</v>
      </c>
      <c r="K7" s="23" t="str">
        <f ca="1">'Line details'!A107</f>
        <v>B13,K8</v>
      </c>
      <c r="L7" s="24" t="s">
        <v>163</v>
      </c>
      <c r="M7" s="73">
        <f ca="1">'Line details'!D67</f>
        <v>159</v>
      </c>
      <c r="N7" s="71">
        <f ca="1">'Line details'!C67</f>
        <v>167</v>
      </c>
      <c r="O7" s="23" t="str">
        <f ca="1">'Line details'!A67</f>
        <v>A5b</v>
      </c>
      <c r="P7" s="24" t="s">
        <v>163</v>
      </c>
      <c r="Q7" s="73">
        <f ca="1">'Line details'!D40</f>
        <v>327</v>
      </c>
      <c r="R7" s="71">
        <f ca="1">'Line details'!C40</f>
        <v>338</v>
      </c>
      <c r="S7" s="23" t="str">
        <f ca="1">'Line details'!A40</f>
        <v>C8</v>
      </c>
      <c r="T7" s="24" t="s">
        <v>163</v>
      </c>
    </row>
    <row r="8" spans="1:20" ht="33.75" customHeight="1">
      <c r="A8" s="73">
        <f ca="1">'Line details'!D199</f>
        <v>1268</v>
      </c>
      <c r="B8" s="71">
        <f ca="1">'Line details'!C199</f>
        <v>1199</v>
      </c>
      <c r="C8" s="23" t="str">
        <f ca="1">'Line details'!A199</f>
        <v>A1</v>
      </c>
      <c r="D8" s="24" t="s">
        <v>163</v>
      </c>
      <c r="E8" s="73">
        <f ca="1">'Line details'!D152</f>
        <v>1188</v>
      </c>
      <c r="F8" s="71">
        <f ca="1">'Line details'!C152</f>
        <v>1187</v>
      </c>
      <c r="G8" s="23" t="str">
        <f ca="1">'Line details'!A152</f>
        <v>A9</v>
      </c>
      <c r="H8" s="24" t="s">
        <v>163</v>
      </c>
      <c r="I8" s="73">
        <f ca="1">'Line details'!D108</f>
        <v>449</v>
      </c>
      <c r="J8" s="71">
        <f ca="1">'Line details'!C108</f>
        <v>404</v>
      </c>
      <c r="K8" s="23" t="str">
        <f ca="1">'Line details'!A108</f>
        <v>K3</v>
      </c>
      <c r="L8" s="24" t="s">
        <v>163</v>
      </c>
      <c r="M8" s="73">
        <f ca="1">'Line details'!D68</f>
        <v>164</v>
      </c>
      <c r="N8" s="71">
        <f ca="1">'Line details'!C68</f>
        <v>172</v>
      </c>
      <c r="O8" s="23" t="str">
        <f ca="1">'Line details'!A68</f>
        <v>A1b</v>
      </c>
      <c r="P8" s="24" t="s">
        <v>163</v>
      </c>
      <c r="Q8" s="73">
        <f ca="1">'Line details'!D41</f>
        <v>328</v>
      </c>
      <c r="R8" s="71">
        <f ca="1">'Line details'!C41</f>
        <v>339</v>
      </c>
      <c r="S8" s="23" t="str">
        <f ca="1">'Line details'!A41</f>
        <v>C7</v>
      </c>
      <c r="T8" s="24" t="s">
        <v>163</v>
      </c>
    </row>
    <row r="9" spans="1:20" ht="33.75" customHeight="1">
      <c r="A9" s="73">
        <f ca="1">'Line details'!D200</f>
        <v>0</v>
      </c>
      <c r="B9" s="71">
        <f ca="1">'Line details'!C200</f>
        <v>0</v>
      </c>
      <c r="C9" s="23">
        <f ca="1">'Line details'!A200</f>
        <v>0</v>
      </c>
      <c r="D9" s="24" t="s">
        <v>163</v>
      </c>
      <c r="E9" s="73">
        <f ca="1">'Line details'!D153</f>
        <v>0</v>
      </c>
      <c r="F9" s="71">
        <f ca="1">'Line details'!C153</f>
        <v>0</v>
      </c>
      <c r="G9" s="23">
        <f ca="1">'Line details'!A153</f>
        <v>0</v>
      </c>
      <c r="H9" s="24" t="s">
        <v>163</v>
      </c>
      <c r="I9" s="73">
        <f ca="1">'Line details'!D109</f>
        <v>484</v>
      </c>
      <c r="J9" s="71">
        <f ca="1">'Line details'!C109</f>
        <v>439</v>
      </c>
      <c r="K9" s="23" t="str">
        <f ca="1">'Line details'!A109</f>
        <v>K12</v>
      </c>
      <c r="L9" s="24" t="s">
        <v>163</v>
      </c>
      <c r="M9" s="73">
        <f ca="1">'Line details'!D69</f>
        <v>175</v>
      </c>
      <c r="N9" s="71">
        <f ca="1">'Line details'!C69</f>
        <v>183</v>
      </c>
      <c r="O9" s="23" t="str">
        <f ca="1">'Line details'!A69</f>
        <v>A4a</v>
      </c>
      <c r="P9" s="24" t="s">
        <v>163</v>
      </c>
      <c r="Q9" s="73">
        <f ca="1">'Line details'!D42</f>
        <v>339</v>
      </c>
      <c r="R9" s="71">
        <f ca="1">'Line details'!C42</f>
        <v>350</v>
      </c>
      <c r="S9" s="23" t="str">
        <f ca="1">'Line details'!A42</f>
        <v>C6</v>
      </c>
      <c r="T9" s="24" t="s">
        <v>163</v>
      </c>
    </row>
    <row r="10" spans="1:20" ht="33.75" customHeight="1">
      <c r="A10" s="73">
        <f ca="1">'Line details'!D204</f>
        <v>714</v>
      </c>
      <c r="B10" s="71">
        <f ca="1">'Line details'!C204</f>
        <v>648</v>
      </c>
      <c r="C10" s="23" t="str">
        <f ca="1">'Line details'!A204</f>
        <v>AM3</v>
      </c>
      <c r="D10" s="24" t="s">
        <v>163</v>
      </c>
      <c r="E10" s="73">
        <f ca="1">'Line details'!D154</f>
        <v>0</v>
      </c>
      <c r="F10" s="71">
        <f ca="1">'Line details'!C154</f>
        <v>0</v>
      </c>
      <c r="G10" s="23" t="str">
        <f ca="1">'Line details'!A154</f>
        <v>LIN-8000-090-RED Diagonal cut (Cắt xéo)</v>
      </c>
      <c r="H10" s="24" t="s">
        <v>163</v>
      </c>
      <c r="I10" s="73">
        <f ca="1">'Line details'!D110</f>
        <v>496</v>
      </c>
      <c r="J10" s="71">
        <f ca="1">'Line details'!C110</f>
        <v>451</v>
      </c>
      <c r="K10" s="23" t="str">
        <f ca="1">'Line details'!A110</f>
        <v>AM7</v>
      </c>
      <c r="L10" s="24" t="s">
        <v>163</v>
      </c>
      <c r="M10" s="73">
        <f ca="1">'Line details'!D70</f>
        <v>177</v>
      </c>
      <c r="N10" s="71">
        <f ca="1">'Line details'!C70</f>
        <v>185</v>
      </c>
      <c r="O10" s="23" t="str">
        <f ca="1">'Line details'!A70</f>
        <v>A3a</v>
      </c>
      <c r="P10" s="24" t="s">
        <v>163</v>
      </c>
      <c r="Q10" s="73">
        <f ca="1">'Line details'!D43</f>
        <v>374</v>
      </c>
      <c r="R10" s="71">
        <f ca="1">'Line details'!C43</f>
        <v>385</v>
      </c>
      <c r="S10" s="23" t="str">
        <f ca="1">'Line details'!A43</f>
        <v>C5</v>
      </c>
      <c r="T10" s="24" t="s">
        <v>163</v>
      </c>
    </row>
    <row r="11" spans="1:20" ht="33.75" customHeight="1">
      <c r="A11" s="73">
        <f ca="1">'Line details'!D205</f>
        <v>801</v>
      </c>
      <c r="B11" s="71">
        <f ca="1">'Line details'!C205</f>
        <v>735</v>
      </c>
      <c r="C11" s="23" t="str">
        <f ca="1">'Line details'!A205</f>
        <v>AM1,2</v>
      </c>
      <c r="D11" s="24" t="s">
        <v>163</v>
      </c>
      <c r="E11" s="73">
        <f ca="1">'Line details'!D155</f>
        <v>0</v>
      </c>
      <c r="F11" s="71">
        <f ca="1">'Line details'!C155</f>
        <v>0</v>
      </c>
      <c r="G11" s="23" t="str">
        <f ca="1">'Line details'!A155</f>
        <v>Reinforced with 8000-070 inside the loop:Luoàn daây 8000-070 beân trong 2 ñaàu loop</v>
      </c>
      <c r="H11" s="24" t="s">
        <v>163</v>
      </c>
      <c r="I11" s="73">
        <f ca="1">'Line details'!D111</f>
        <v>510</v>
      </c>
      <c r="J11" s="71">
        <f ca="1">'Line details'!C111</f>
        <v>465</v>
      </c>
      <c r="K11" s="23" t="str">
        <f ca="1">'Line details'!A111</f>
        <v>K5</v>
      </c>
      <c r="L11" s="24" t="s">
        <v>163</v>
      </c>
      <c r="M11" s="73">
        <f ca="1">'Line details'!D71</f>
        <v>178</v>
      </c>
      <c r="N11" s="71">
        <f ca="1">'Line details'!C71</f>
        <v>186</v>
      </c>
      <c r="O11" s="23" t="str">
        <f ca="1">'Line details'!A71</f>
        <v>A2a</v>
      </c>
      <c r="P11" s="24" t="s">
        <v>163</v>
      </c>
      <c r="Q11" s="73">
        <f ca="1">'Line details'!D44</f>
        <v>412</v>
      </c>
      <c r="R11" s="71">
        <f ca="1">'Line details'!C44</f>
        <v>423</v>
      </c>
      <c r="S11" s="23" t="str">
        <f ca="1">'Line details'!A44</f>
        <v>B4</v>
      </c>
      <c r="T11" s="24" t="s">
        <v>163</v>
      </c>
    </row>
    <row r="12" spans="1:20" ht="33.75" customHeight="1">
      <c r="A12" s="73">
        <f ca="1">'Line details'!D206</f>
        <v>1770</v>
      </c>
      <c r="B12" s="71">
        <f ca="1">'Line details'!C206</f>
        <v>1704</v>
      </c>
      <c r="C12" s="23" t="str">
        <f ca="1">'Line details'!A206</f>
        <v>AML1</v>
      </c>
      <c r="D12" s="24" t="s">
        <v>163</v>
      </c>
      <c r="E12" s="73" t="str">
        <f ca="1">'Line details'!D156</f>
        <v>CUT</v>
      </c>
      <c r="F12" s="71" t="str">
        <f ca="1">'Line details'!C156</f>
        <v>Sewn</v>
      </c>
      <c r="G12" s="23" t="str">
        <f ca="1">'Line details'!A156</f>
        <v>Name</v>
      </c>
      <c r="H12" s="24" t="s">
        <v>163</v>
      </c>
      <c r="I12" s="73">
        <f ca="1">'Line details'!D112</f>
        <v>675</v>
      </c>
      <c r="J12" s="71">
        <f ca="1">'Line details'!C112</f>
        <v>630</v>
      </c>
      <c r="K12" s="23" t="str">
        <f ca="1">'Line details'!A112</f>
        <v>K1</v>
      </c>
      <c r="L12" s="24" t="s">
        <v>163</v>
      </c>
      <c r="M12" s="73">
        <f ca="1">'Line details'!D72</f>
        <v>181</v>
      </c>
      <c r="N12" s="71">
        <f ca="1">'Line details'!C72</f>
        <v>189</v>
      </c>
      <c r="O12" s="23" t="str">
        <f ca="1">'Line details'!A72</f>
        <v>A5a</v>
      </c>
      <c r="P12" s="24" t="s">
        <v>163</v>
      </c>
      <c r="Q12" s="73">
        <f ca="1">'Line details'!D45</f>
        <v>427</v>
      </c>
      <c r="R12" s="71">
        <f ca="1">'Line details'!C45</f>
        <v>438</v>
      </c>
      <c r="S12" s="23" t="str">
        <f ca="1">'Line details'!A45</f>
        <v>B3</v>
      </c>
      <c r="T12" s="24" t="s">
        <v>163</v>
      </c>
    </row>
    <row r="13" spans="1:20" ht="33.75" customHeight="1">
      <c r="A13" s="73">
        <f ca="1">'Line details'!D207</f>
        <v>0</v>
      </c>
      <c r="B13" s="71">
        <f ca="1">'Line details'!C207</f>
        <v>0</v>
      </c>
      <c r="C13" s="23">
        <f ca="1">'Line details'!A207</f>
        <v>0</v>
      </c>
      <c r="D13" s="24" t="s">
        <v>163</v>
      </c>
      <c r="E13" s="73">
        <f ca="1">'Line details'!D157</f>
        <v>831</v>
      </c>
      <c r="F13" s="71">
        <f ca="1">'Line details'!C157</f>
        <v>827</v>
      </c>
      <c r="G13" s="23" t="str">
        <f ca="1">'Line details'!A157</f>
        <v>A6</v>
      </c>
      <c r="H13" s="24" t="s">
        <v>163</v>
      </c>
      <c r="I13" s="73">
        <f ca="1">'Line details'!D113</f>
        <v>0</v>
      </c>
      <c r="J13" s="71">
        <f ca="1">'Line details'!C113</f>
        <v>0</v>
      </c>
      <c r="K13" s="23">
        <f ca="1">'Line details'!A113</f>
        <v>0</v>
      </c>
      <c r="L13" s="24" t="s">
        <v>163</v>
      </c>
      <c r="M13" s="73">
        <f ca="1">'Line details'!D73</f>
        <v>189</v>
      </c>
      <c r="N13" s="71">
        <f ca="1">'Line details'!C73</f>
        <v>197</v>
      </c>
      <c r="O13" s="23" t="str">
        <f ca="1">'Line details'!A73</f>
        <v>A1a</v>
      </c>
      <c r="P13" s="24" t="s">
        <v>163</v>
      </c>
      <c r="Q13" s="73">
        <f ca="1">'Line details'!D46</f>
        <v>480</v>
      </c>
      <c r="R13" s="71">
        <f ca="1">'Line details'!C46</f>
        <v>491</v>
      </c>
      <c r="S13" s="23" t="str">
        <f ca="1">'Line details'!A46</f>
        <v>C4</v>
      </c>
      <c r="T13" s="24" t="s">
        <v>163</v>
      </c>
    </row>
    <row r="14" spans="1:20" ht="33.75" customHeight="1">
      <c r="A14" s="73">
        <f ca="1">'Line details'!D225</f>
        <v>4519</v>
      </c>
      <c r="B14" s="71">
        <f ca="1">'Line details'!C225</f>
        <v>4455</v>
      </c>
      <c r="C14" s="74" t="s">
        <v>191</v>
      </c>
      <c r="D14" s="24" t="s">
        <v>163</v>
      </c>
      <c r="E14" s="73">
        <f ca="1">'Line details'!D158</f>
        <v>834</v>
      </c>
      <c r="F14" s="71">
        <f ca="1">'Line details'!C158</f>
        <v>830</v>
      </c>
      <c r="G14" s="23" t="str">
        <f ca="1">'Line details'!A158</f>
        <v>BM3</v>
      </c>
      <c r="H14" s="24" t="s">
        <v>163</v>
      </c>
      <c r="I14" s="73">
        <f ca="1">'Line details'!D132</f>
        <v>605</v>
      </c>
      <c r="J14" s="71">
        <f ca="1">'Line details'!C132</f>
        <v>604</v>
      </c>
      <c r="K14" s="23" t="str">
        <f ca="1">'Line details'!A132</f>
        <v>BM5</v>
      </c>
      <c r="L14" s="24" t="s">
        <v>163</v>
      </c>
      <c r="M14" s="73">
        <f ca="1">'Line details'!D74</f>
        <v>0</v>
      </c>
      <c r="N14" s="71">
        <f ca="1">'Line details'!C74</f>
        <v>0</v>
      </c>
      <c r="O14" s="23">
        <f ca="1">'Line details'!A74</f>
        <v>0</v>
      </c>
      <c r="P14" s="24" t="s">
        <v>163</v>
      </c>
      <c r="Q14" s="73">
        <f ca="1">'Line details'!D47</f>
        <v>500</v>
      </c>
      <c r="R14" s="71">
        <f ca="1">'Line details'!C47</f>
        <v>511</v>
      </c>
      <c r="S14" s="23" t="str">
        <f ca="1">'Line details'!A47</f>
        <v>C3</v>
      </c>
      <c r="T14" s="24" t="s">
        <v>163</v>
      </c>
    </row>
    <row r="15" spans="1:20" ht="33.75" customHeight="1">
      <c r="A15" s="73"/>
      <c r="B15" s="71"/>
      <c r="C15" s="23"/>
      <c r="D15" s="24" t="s">
        <v>163</v>
      </c>
      <c r="E15" s="73">
        <f ca="1">'Line details'!D159</f>
        <v>953</v>
      </c>
      <c r="F15" s="71">
        <f ca="1">'Line details'!C159</f>
        <v>949</v>
      </c>
      <c r="G15" s="23" t="str">
        <f ca="1">'Line details'!A159</f>
        <v>A8</v>
      </c>
      <c r="H15" s="24" t="s">
        <v>163</v>
      </c>
      <c r="I15" s="73">
        <f ca="1">'Line details'!D133</f>
        <v>722</v>
      </c>
      <c r="J15" s="71">
        <f ca="1">'Line details'!C133</f>
        <v>721</v>
      </c>
      <c r="K15" s="23" t="str">
        <f ca="1">'Line details'!A133</f>
        <v>BMU6</v>
      </c>
      <c r="L15" s="24" t="s">
        <v>163</v>
      </c>
      <c r="M15" s="73">
        <f ca="1">'Line details'!D90</f>
        <v>2334</v>
      </c>
      <c r="N15" s="71">
        <f ca="1">'Line details'!C90</f>
        <v>2284</v>
      </c>
      <c r="O15" s="23" t="str">
        <f ca="1">'Line details'!A90</f>
        <v>KRU</v>
      </c>
      <c r="P15" s="24" t="s">
        <v>163</v>
      </c>
      <c r="Q15" s="73">
        <f ca="1">'Line details'!D48</f>
        <v>502</v>
      </c>
      <c r="R15" s="71">
        <f ca="1">'Line details'!C48</f>
        <v>513</v>
      </c>
      <c r="S15" s="23" t="str">
        <f ca="1">'Line details'!A48</f>
        <v>B2</v>
      </c>
      <c r="T15" s="24" t="s">
        <v>163</v>
      </c>
    </row>
    <row r="16" spans="1:20" ht="33.75" customHeight="1">
      <c r="A16" s="73">
        <f ca="1">'Line details'!D230</f>
        <v>2630</v>
      </c>
      <c r="B16" s="71">
        <f ca="1">'Line details'!C230</f>
        <v>2570</v>
      </c>
      <c r="C16" s="74" t="s">
        <v>192</v>
      </c>
      <c r="D16" s="24" t="s">
        <v>163</v>
      </c>
      <c r="E16" s="73">
        <f ca="1">'Line details'!D160</f>
        <v>960</v>
      </c>
      <c r="F16" s="71">
        <f ca="1">'Line details'!C160</f>
        <v>956</v>
      </c>
      <c r="G16" s="23" t="str">
        <f ca="1">'Line details'!A160</f>
        <v>A5</v>
      </c>
      <c r="H16" s="24" t="s">
        <v>163</v>
      </c>
      <c r="I16" s="73">
        <f ca="1">'Line details'!D134</f>
        <v>812</v>
      </c>
      <c r="J16" s="71">
        <f ca="1">'Line details'!C134</f>
        <v>811</v>
      </c>
      <c r="K16" s="23" t="str">
        <f ca="1">'Line details'!A134</f>
        <v>BMU5,7,8</v>
      </c>
      <c r="L16" s="24" t="s">
        <v>163</v>
      </c>
      <c r="M16" s="73">
        <f ca="1">'Line details'!D91</f>
        <v>0</v>
      </c>
      <c r="N16" s="71">
        <f ca="1">'Line details'!C91</f>
        <v>0</v>
      </c>
      <c r="O16" s="23">
        <f ca="1">'Line details'!A91</f>
        <v>0</v>
      </c>
      <c r="P16" s="24" t="s">
        <v>163</v>
      </c>
      <c r="Q16" s="73">
        <f ca="1">'Line details'!D49</f>
        <v>580</v>
      </c>
      <c r="R16" s="71">
        <f ca="1">'Line details'!C49</f>
        <v>591</v>
      </c>
      <c r="S16" s="23" t="str">
        <f ca="1">'Line details'!A49</f>
        <v>C2</v>
      </c>
      <c r="T16" s="24" t="s">
        <v>163</v>
      </c>
    </row>
    <row r="17" spans="1:20" ht="33.75" customHeight="1">
      <c r="A17" s="73">
        <f ca="1">'Line details'!D231</f>
        <v>4183</v>
      </c>
      <c r="B17" s="71">
        <f ca="1">'Line details'!C231</f>
        <v>4123</v>
      </c>
      <c r="C17" s="74" t="s">
        <v>193</v>
      </c>
      <c r="D17" s="24" t="s">
        <v>163</v>
      </c>
      <c r="E17" s="73">
        <f ca="1">'Line details'!D161</f>
        <v>1009</v>
      </c>
      <c r="F17" s="71">
        <f ca="1">'Line details'!C161</f>
        <v>1005</v>
      </c>
      <c r="G17" s="23" t="str">
        <f ca="1">'Line details'!A161</f>
        <v>BM1,2</v>
      </c>
      <c r="H17" s="24" t="s">
        <v>163</v>
      </c>
      <c r="I17" s="73">
        <f ca="1">'Line details'!D135</f>
        <v>858</v>
      </c>
      <c r="J17" s="71">
        <f ca="1">'Line details'!C135</f>
        <v>857</v>
      </c>
      <c r="K17" s="23" t="str">
        <f ca="1">'Line details'!A135</f>
        <v>BMU2</v>
      </c>
      <c r="L17" s="24" t="s">
        <v>163</v>
      </c>
      <c r="M17" s="73">
        <f ca="1">'Line details'!D94</f>
        <v>205</v>
      </c>
      <c r="N17" s="71">
        <f ca="1">'Line details'!C94</f>
        <v>160</v>
      </c>
      <c r="O17" s="23" t="str">
        <f ca="1">'Line details'!A94</f>
        <v>A14</v>
      </c>
      <c r="P17" s="24" t="s">
        <v>163</v>
      </c>
      <c r="Q17" s="73">
        <f ca="1">'Line details'!D50</f>
        <v>592</v>
      </c>
      <c r="R17" s="71">
        <f ca="1">'Line details'!C50</f>
        <v>603</v>
      </c>
      <c r="S17" s="23" t="str">
        <f ca="1">'Line details'!A50</f>
        <v>B1</v>
      </c>
      <c r="T17" s="24" t="s">
        <v>163</v>
      </c>
    </row>
    <row r="18" spans="1:20" ht="33.75" customHeight="1">
      <c r="A18" s="73"/>
      <c r="B18" s="71"/>
      <c r="C18" s="23"/>
      <c r="D18" s="24" t="s">
        <v>163</v>
      </c>
      <c r="E18" s="73">
        <f ca="1">'Line details'!D162</f>
        <v>1076</v>
      </c>
      <c r="F18" s="71">
        <f ca="1">'Line details'!C162</f>
        <v>1072</v>
      </c>
      <c r="G18" s="23" t="str">
        <f ca="1">'Line details'!A162</f>
        <v>A3</v>
      </c>
      <c r="H18" s="24" t="s">
        <v>163</v>
      </c>
      <c r="I18" s="73">
        <f ca="1">'Line details'!D136</f>
        <v>903</v>
      </c>
      <c r="J18" s="71">
        <f ca="1">'Line details'!C136</f>
        <v>902</v>
      </c>
      <c r="K18" s="23" t="str">
        <f ca="1">'Line details'!A136</f>
        <v>BMU3</v>
      </c>
      <c r="L18" s="24" t="s">
        <v>163</v>
      </c>
      <c r="M18" s="73">
        <f ca="1">'Line details'!D95</f>
        <v>226</v>
      </c>
      <c r="N18" s="71">
        <f ca="1">'Line details'!C95</f>
        <v>181</v>
      </c>
      <c r="O18" s="23" t="str">
        <f ca="1">'Line details'!A95</f>
        <v>B14</v>
      </c>
      <c r="P18" s="24" t="s">
        <v>163</v>
      </c>
      <c r="Q18" s="73">
        <f ca="1">'Line details'!D51</f>
        <v>664</v>
      </c>
      <c r="R18" s="71">
        <f ca="1">'Line details'!C51</f>
        <v>675</v>
      </c>
      <c r="S18" s="23" t="str">
        <f ca="1">'Line details'!A51</f>
        <v>C1</v>
      </c>
      <c r="T18" s="24" t="s">
        <v>163</v>
      </c>
    </row>
    <row r="19" spans="1:20" ht="33.75" customHeight="1">
      <c r="A19" s="73">
        <f ca="1">'Line details'!D236</f>
        <v>4590</v>
      </c>
      <c r="B19" s="71">
        <f ca="1">'Line details'!C236</f>
        <v>4526</v>
      </c>
      <c r="C19" s="74" t="s">
        <v>194</v>
      </c>
      <c r="D19" s="24" t="s">
        <v>163</v>
      </c>
      <c r="E19" s="73">
        <f ca="1">'Line details'!D163</f>
        <v>1104</v>
      </c>
      <c r="F19" s="71">
        <f ca="1">'Line details'!C163</f>
        <v>1100</v>
      </c>
      <c r="G19" s="23" t="str">
        <f ca="1">'Line details'!A163</f>
        <v>A2</v>
      </c>
      <c r="H19" s="24" t="s">
        <v>163</v>
      </c>
      <c r="I19" s="73">
        <f ca="1">'Line details'!D137</f>
        <v>1623</v>
      </c>
      <c r="J19" s="71">
        <f ca="1">'Line details'!C137</f>
        <v>1622</v>
      </c>
      <c r="K19" s="23" t="str">
        <f ca="1">'Line details'!A137</f>
        <v>A11</v>
      </c>
      <c r="L19" s="24" t="s">
        <v>163</v>
      </c>
      <c r="M19" s="73">
        <f ca="1">'Line details'!D96</f>
        <v>270</v>
      </c>
      <c r="N19" s="71">
        <f ca="1">'Line details'!C96</f>
        <v>225</v>
      </c>
      <c r="O19" s="23" t="str">
        <f ca="1">'Line details'!A96</f>
        <v>AM6</v>
      </c>
      <c r="P19" s="24" t="s">
        <v>163</v>
      </c>
      <c r="Q19" s="73">
        <f ca="1">'Line details'!D52</f>
        <v>1065</v>
      </c>
      <c r="R19" s="71">
        <f ca="1">'Line details'!C52</f>
        <v>1076</v>
      </c>
      <c r="S19" s="23" t="str">
        <f ca="1">'Line details'!A52</f>
        <v>A10</v>
      </c>
      <c r="T19" s="24" t="s">
        <v>163</v>
      </c>
    </row>
    <row r="20" spans="1:20" ht="33.75" customHeight="1">
      <c r="A20" s="73">
        <f ca="1">'Line details'!D237</f>
        <v>4734</v>
      </c>
      <c r="B20" s="71">
        <f ca="1">'Line details'!C237</f>
        <v>4670</v>
      </c>
      <c r="C20" s="74" t="s">
        <v>195</v>
      </c>
      <c r="D20" s="24" t="s">
        <v>163</v>
      </c>
      <c r="E20" s="73">
        <f ca="1">'Line details'!D164</f>
        <v>0</v>
      </c>
      <c r="F20" s="71">
        <f ca="1">'Line details'!C164</f>
        <v>0</v>
      </c>
      <c r="G20" s="23">
        <f ca="1">'Line details'!A164</f>
        <v>0</v>
      </c>
      <c r="H20" s="24" t="s">
        <v>163</v>
      </c>
      <c r="I20" s="73">
        <f ca="1">'Line details'!D138</f>
        <v>1659</v>
      </c>
      <c r="J20" s="71">
        <f ca="1">'Line details'!C138</f>
        <v>1658</v>
      </c>
      <c r="K20" s="23" t="str">
        <f ca="1">'Line details'!A138</f>
        <v>B11</v>
      </c>
      <c r="L20" s="24" t="s">
        <v>163</v>
      </c>
      <c r="M20" s="73">
        <f ca="1">'Line details'!D97</f>
        <v>288</v>
      </c>
      <c r="N20" s="71">
        <f ca="1">'Line details'!C97</f>
        <v>243</v>
      </c>
      <c r="O20" s="23" t="str">
        <f ca="1">'Line details'!A97</f>
        <v>K11</v>
      </c>
      <c r="P20" s="24" t="s">
        <v>163</v>
      </c>
      <c r="Q20" s="73">
        <f ca="1">'Line details'!D53</f>
        <v>1078</v>
      </c>
      <c r="R20" s="71">
        <f ca="1">'Line details'!C53</f>
        <v>1089</v>
      </c>
      <c r="S20" s="23" t="str">
        <f ca="1">'Line details'!A53</f>
        <v>B10</v>
      </c>
      <c r="T20" s="24" t="s">
        <v>163</v>
      </c>
    </row>
    <row r="21" spans="1:20" ht="33.75" customHeight="1">
      <c r="A21" s="73"/>
      <c r="B21" s="71"/>
      <c r="C21" s="23"/>
      <c r="D21" s="24" t="s">
        <v>163</v>
      </c>
      <c r="E21" s="73">
        <f ca="1">'Line details'!D186</f>
        <v>638</v>
      </c>
      <c r="F21" s="71">
        <f ca="1">'Line details'!C186</f>
        <v>577</v>
      </c>
      <c r="G21" s="23" t="str">
        <f ca="1">'Line details'!A186</f>
        <v>KMU5</v>
      </c>
      <c r="H21" s="24" t="s">
        <v>163</v>
      </c>
      <c r="I21" s="73">
        <f ca="1">'Line details'!D139</f>
        <v>2174</v>
      </c>
      <c r="J21" s="71">
        <f ca="1">'Line details'!C139</f>
        <v>2173</v>
      </c>
      <c r="K21" s="23" t="str">
        <f ca="1">'Line details'!A139</f>
        <v>KML2</v>
      </c>
      <c r="L21" s="24" t="s">
        <v>163</v>
      </c>
      <c r="M21" s="73">
        <f ca="1">'Line details'!D98</f>
        <v>311</v>
      </c>
      <c r="N21" s="71">
        <f ca="1">'Line details'!C98</f>
        <v>266</v>
      </c>
      <c r="O21" s="23" t="str">
        <f ca="1">'Line details'!A98</f>
        <v>K9</v>
      </c>
      <c r="P21" s="24" t="s">
        <v>163</v>
      </c>
      <c r="Q21" s="73">
        <f ca="1">'Line details'!D54</f>
        <v>1167</v>
      </c>
      <c r="R21" s="71">
        <f ca="1">'Line details'!C54</f>
        <v>1178</v>
      </c>
      <c r="S21" s="23" t="str">
        <f ca="1">'Line details'!A54</f>
        <v>B9</v>
      </c>
      <c r="T21" s="24" t="s">
        <v>163</v>
      </c>
    </row>
    <row r="22" spans="1:20" ht="36" customHeight="1">
      <c r="A22" s="73">
        <f ca="1">'Line details'!D256</f>
        <v>601</v>
      </c>
      <c r="B22" s="71">
        <f ca="1">'Line details'!C256</f>
        <v>541</v>
      </c>
      <c r="C22" s="75" t="s">
        <v>196</v>
      </c>
      <c r="D22" s="24" t="s">
        <v>163</v>
      </c>
      <c r="E22" s="73">
        <f ca="1">'Line details'!D187</f>
        <v>672</v>
      </c>
      <c r="F22" s="71">
        <f ca="1">'Line details'!C187</f>
        <v>611</v>
      </c>
      <c r="G22" s="23" t="str">
        <f ca="1">'Line details'!A187</f>
        <v>KMU6</v>
      </c>
      <c r="H22" s="24" t="s">
        <v>163</v>
      </c>
      <c r="I22" s="73">
        <f ca="1">'Line details'!D140</f>
        <v>2360</v>
      </c>
      <c r="J22" s="71">
        <f ca="1">'Line details'!C140</f>
        <v>2359</v>
      </c>
      <c r="K22" s="23" t="str">
        <f ca="1">'Line details'!A140</f>
        <v>KML3</v>
      </c>
      <c r="L22" s="24" t="s">
        <v>163</v>
      </c>
      <c r="M22" s="73">
        <f ca="1">'Line details'!D99</f>
        <v>316</v>
      </c>
      <c r="N22" s="71">
        <f ca="1">'Line details'!C99</f>
        <v>271</v>
      </c>
      <c r="O22" s="23" t="str">
        <f ca="1">'Line details'!A99</f>
        <v>K7</v>
      </c>
      <c r="P22" s="24" t="s">
        <v>163</v>
      </c>
      <c r="Q22" s="73">
        <f ca="1">'Line details'!D55</f>
        <v>0</v>
      </c>
      <c r="R22" s="71">
        <f ca="1">'Line details'!C55</f>
        <v>0</v>
      </c>
      <c r="S22" s="23">
        <f ca="1">'Line details'!A55</f>
        <v>0</v>
      </c>
      <c r="T22" s="24" t="s">
        <v>163</v>
      </c>
    </row>
    <row r="23" spans="1:20" ht="36" customHeight="1">
      <c r="A23" s="73"/>
      <c r="B23" s="71"/>
      <c r="C23" s="23"/>
      <c r="D23" s="24" t="s">
        <v>163</v>
      </c>
      <c r="E23" s="73">
        <f ca="1">'Line details'!D188</f>
        <v>881</v>
      </c>
      <c r="F23" s="71">
        <f ca="1">'Line details'!C188</f>
        <v>820</v>
      </c>
      <c r="G23" s="23" t="str">
        <f ca="1">'Line details'!A188</f>
        <v>KMU4</v>
      </c>
      <c r="H23" s="24" t="s">
        <v>163</v>
      </c>
      <c r="I23" s="73">
        <f ca="1">'Line details'!D141</f>
        <v>2378</v>
      </c>
      <c r="J23" s="71">
        <f ca="1">'Line details'!C141</f>
        <v>2377</v>
      </c>
      <c r="K23" s="23" t="str">
        <f ca="1">'Line details'!A141</f>
        <v>KML1</v>
      </c>
      <c r="L23" s="24" t="s">
        <v>163</v>
      </c>
      <c r="M23" s="73">
        <f ca="1">'Line details'!D100</f>
        <v>318</v>
      </c>
      <c r="N23" s="71">
        <f ca="1">'Line details'!C100</f>
        <v>273</v>
      </c>
      <c r="O23" s="23" t="str">
        <f ca="1">'Line details'!A100</f>
        <v>K6</v>
      </c>
      <c r="P23" s="24" t="s">
        <v>163</v>
      </c>
      <c r="Q23" s="73">
        <f ca="1">'Line details'!D58</f>
        <v>148</v>
      </c>
      <c r="R23" s="71">
        <f ca="1">'Line details'!C58</f>
        <v>158</v>
      </c>
      <c r="S23" s="23" t="str">
        <f ca="1">'Line details'!A58</f>
        <v>A8b</v>
      </c>
      <c r="T23" s="24" t="s">
        <v>163</v>
      </c>
    </row>
    <row r="24" spans="1:20" ht="37.5" customHeight="1"/>
    <row r="25" spans="1:20" ht="37.5" customHeight="1"/>
    <row r="26" spans="1:20" ht="37.5" customHeight="1"/>
    <row r="27" spans="1:20" ht="37.5" customHeight="1"/>
    <row r="28" spans="1:20" ht="37.5" customHeight="1"/>
    <row r="29" spans="1:20" ht="37.5" customHeight="1"/>
    <row r="30" spans="1:20" ht="37.5" customHeight="1"/>
    <row r="31" spans="1:20" ht="37.5" customHeight="1"/>
    <row r="32" spans="1:20" ht="37.5" customHeight="1"/>
  </sheetData>
  <phoneticPr fontId="0" type="noConversion"/>
  <pageMargins left="0.16" right="0.23" top="0.21" bottom="0.15" header="0.16" footer="0.16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0"/>
  <sheetViews>
    <sheetView topLeftCell="A38" workbookViewId="0">
      <selection activeCell="A28" sqref="A28:P50"/>
    </sheetView>
  </sheetViews>
  <sheetFormatPr defaultRowHeight="15"/>
  <cols>
    <col min="1" max="1" width="4.7109375" customWidth="1"/>
    <col min="2" max="2" width="8.5703125" customWidth="1"/>
    <col min="3" max="3" width="8" customWidth="1"/>
    <col min="4" max="4" width="10.42578125" customWidth="1"/>
    <col min="5" max="5" width="8.5703125" customWidth="1"/>
    <col min="6" max="6" width="8" customWidth="1"/>
    <col min="7" max="7" width="10" customWidth="1"/>
    <col min="8" max="8" width="8.5703125" customWidth="1"/>
    <col min="9" max="9" width="8" customWidth="1"/>
    <col min="10" max="10" width="9.7109375" customWidth="1"/>
    <col min="11" max="11" width="8.5703125" customWidth="1"/>
    <col min="12" max="12" width="8" customWidth="1"/>
    <col min="13" max="13" width="9.5703125" customWidth="1"/>
    <col min="14" max="14" width="8.5703125" customWidth="1"/>
    <col min="15" max="15" width="8" customWidth="1"/>
    <col min="16" max="16" width="9.42578125" customWidth="1"/>
  </cols>
  <sheetData>
    <row r="1" spans="1:8" ht="20.25">
      <c r="A1" s="1" t="s">
        <v>92</v>
      </c>
    </row>
    <row r="2" spans="1:8">
      <c r="A2" s="2" t="s">
        <v>1</v>
      </c>
      <c r="B2" s="2" t="s">
        <v>2</v>
      </c>
    </row>
    <row r="3" spans="1:8">
      <c r="A3" s="2" t="s">
        <v>3</v>
      </c>
      <c r="B3" s="2" t="s">
        <v>2</v>
      </c>
    </row>
    <row r="5" spans="1:8">
      <c r="A5" s="3" t="s">
        <v>93</v>
      </c>
    </row>
    <row r="7" spans="1:8">
      <c r="B7" s="4" t="s">
        <v>94</v>
      </c>
      <c r="C7" s="4" t="s">
        <v>95</v>
      </c>
      <c r="D7" s="4" t="s">
        <v>96</v>
      </c>
      <c r="E7" s="4" t="s">
        <v>97</v>
      </c>
      <c r="F7" s="4" t="s">
        <v>98</v>
      </c>
      <c r="G7" s="4" t="s">
        <v>99</v>
      </c>
      <c r="H7" s="4" t="s">
        <v>100</v>
      </c>
    </row>
    <row r="9" spans="1:8">
      <c r="A9" s="3" t="s">
        <v>101</v>
      </c>
      <c r="B9">
        <f>4526+735+1199+197+(-7-5-5+5)</f>
        <v>6645</v>
      </c>
      <c r="C9">
        <f>4526+735+1199+172+(-7-5-5+5)</f>
        <v>6620</v>
      </c>
      <c r="D9">
        <f>4123+1005+857+603+(-4-3+0+0)</f>
        <v>6581</v>
      </c>
      <c r="E9">
        <f>4123+1005+857+675+(-4-3+0+0)</f>
        <v>6653</v>
      </c>
      <c r="H9">
        <f>748+2566+2377+1239+630+(0-4+0+0+0)</f>
        <v>7556</v>
      </c>
    </row>
    <row r="10" spans="1:8">
      <c r="A10" s="3" t="s">
        <v>102</v>
      </c>
      <c r="B10">
        <f>4526+735+1100+186+(-7-5-4+5)</f>
        <v>6536</v>
      </c>
      <c r="C10">
        <f>4526+735+1100+160+(-7-5-4+5)</f>
        <v>6510</v>
      </c>
      <c r="D10">
        <f>4123+1005+857+513+(-4-3+0+0)</f>
        <v>6491</v>
      </c>
      <c r="E10">
        <f>4123+1005+857+591+(-4-3+0+0)</f>
        <v>6569</v>
      </c>
      <c r="H10">
        <f>748+2566+2377+1239+305+(0-4+0+0+0)</f>
        <v>7231</v>
      </c>
    </row>
    <row r="11" spans="1:8">
      <c r="A11" s="3" t="s">
        <v>103</v>
      </c>
      <c r="B11">
        <f>4526+735+1072+185+(-7-5-4+5)</f>
        <v>6507</v>
      </c>
      <c r="C11">
        <f>4526+735+1072+160+(-7-5-4+5)</f>
        <v>6482</v>
      </c>
      <c r="D11">
        <f>4123+1005+902+438+(-4-3+5+0)</f>
        <v>6466</v>
      </c>
      <c r="E11">
        <f>4123+1005+902+511+(-4-3+5+0)</f>
        <v>6539</v>
      </c>
      <c r="H11">
        <f>748+2566+2377+947+404+(0-4+0+0+0)</f>
        <v>7038</v>
      </c>
    </row>
    <row r="12" spans="1:8">
      <c r="A12" s="3" t="s">
        <v>104</v>
      </c>
      <c r="B12">
        <f>4526+735+1126+183+(-7-5-5+5)</f>
        <v>6558</v>
      </c>
      <c r="C12">
        <f>4526+735+1126+160+(-7-5-5+5)</f>
        <v>6535</v>
      </c>
      <c r="D12">
        <f>4123+1005+947+423+(-4-3+5+0)</f>
        <v>6496</v>
      </c>
      <c r="E12">
        <f>4123+1005+947+491+(-4-3+5+0)</f>
        <v>6564</v>
      </c>
      <c r="H12">
        <f>748+2566+2377+947+337+(0-4+0+0+0)</f>
        <v>6971</v>
      </c>
    </row>
    <row r="13" spans="1:8">
      <c r="A13" s="3" t="s">
        <v>105</v>
      </c>
      <c r="B13">
        <f>4670+648+956+189+(-7-5-4+5)</f>
        <v>6452</v>
      </c>
      <c r="C13">
        <f>4670+648+956+167+(-7-5-4+5)</f>
        <v>6430</v>
      </c>
      <c r="D13">
        <f>4455+830+811+319+(-4-3+0+0)</f>
        <v>6408</v>
      </c>
      <c r="E13">
        <f>4455+830+811+385+(-4-3+0+0)</f>
        <v>6474</v>
      </c>
      <c r="H13">
        <f>748+2566+2173+866+465+(0-4+0+0+0)</f>
        <v>6814</v>
      </c>
    </row>
    <row r="14" spans="1:8">
      <c r="A14" s="3" t="s">
        <v>106</v>
      </c>
      <c r="B14">
        <f>4670+648+827+181+(-7-5-3+5)</f>
        <v>6316</v>
      </c>
      <c r="C14">
        <f>4670+648+827+159+(-7-5-3+5)</f>
        <v>6294</v>
      </c>
      <c r="D14">
        <f>4455+830+721+286+(-4-3+0+0)</f>
        <v>6285</v>
      </c>
      <c r="E14">
        <f>4455+830+721+350+(-4-3+0+0)</f>
        <v>6349</v>
      </c>
      <c r="H14">
        <f>748+2566+2173+866+273+(0-4+0+0+0)</f>
        <v>6622</v>
      </c>
    </row>
    <row r="15" spans="1:8">
      <c r="A15" s="3" t="s">
        <v>107</v>
      </c>
      <c r="B15">
        <f>4670+500+915+178+(-7-4-3+0)</f>
        <v>6249</v>
      </c>
      <c r="C15">
        <f>4670+500+915+159+(-7-4-3+0)</f>
        <v>6230</v>
      </c>
      <c r="D15">
        <f>4455+681+811+282+(-4-3+0+0)</f>
        <v>6222</v>
      </c>
      <c r="E15">
        <f>4455+681+811+339+(-4-3+0+0)</f>
        <v>6279</v>
      </c>
      <c r="H15">
        <f>748+2566+2173+820+271+(0-4+0+0+0)</f>
        <v>6574</v>
      </c>
    </row>
    <row r="16" spans="1:8">
      <c r="A16" s="3" t="s">
        <v>108</v>
      </c>
      <c r="B16">
        <f>4670+500+949+174+(-7-4-3+5)</f>
        <v>6284</v>
      </c>
      <c r="C16">
        <f>4670+500+949+158+(-7-4-3+5)</f>
        <v>6268</v>
      </c>
      <c r="D16">
        <f>4455+681+811+297+(-4-3+0+0)</f>
        <v>6237</v>
      </c>
      <c r="E16">
        <f>4455+681+811+338+(-4-3+0+0)</f>
        <v>6278</v>
      </c>
      <c r="H16">
        <f>748+2566+2173+820+381+(0-4+0+0+0)</f>
        <v>6684</v>
      </c>
    </row>
    <row r="17" spans="1:16">
      <c r="A17" s="3" t="s">
        <v>109</v>
      </c>
      <c r="B17">
        <f>2570+1704+604+1187+(0-5-3+-3)</f>
        <v>6054</v>
      </c>
      <c r="C17">
        <f>541+3735+604+1178+(0-3-3+-3)</f>
        <v>6049</v>
      </c>
      <c r="H17">
        <f>748+2566+2333+577+266+(0-4+0+0+0)</f>
        <v>6486</v>
      </c>
    </row>
    <row r="18" spans="1:16">
      <c r="A18" s="3" t="s">
        <v>110</v>
      </c>
      <c r="B18">
        <f>2570+1704+604+1076+(0-5-3+-3)</f>
        <v>5943</v>
      </c>
      <c r="C18">
        <f>541+3735+604+1089+(0-3-3+-2)</f>
        <v>5961</v>
      </c>
      <c r="H18">
        <f>748+2566+2333+577+276+(0-4+0+0+0)</f>
        <v>6496</v>
      </c>
    </row>
    <row r="19" spans="1:16">
      <c r="A19" s="3" t="s">
        <v>111</v>
      </c>
      <c r="B19">
        <f>2570+1704+1622+(0-5+-2)</f>
        <v>5889</v>
      </c>
      <c r="C19">
        <f>541+3735+1658+(0-3+-2)</f>
        <v>5929</v>
      </c>
    </row>
    <row r="20" spans="1:16">
      <c r="A20" s="3" t="s">
        <v>112</v>
      </c>
      <c r="B20">
        <f>2570+2696+225+365+(0+0+0+5)</f>
        <v>5861</v>
      </c>
      <c r="C20">
        <f>2570+2696+225+372+(0+0+0+5)</f>
        <v>5868</v>
      </c>
      <c r="H20">
        <f>748+2566+2333+611+243+(0-4+0+0+0)</f>
        <v>6497</v>
      </c>
    </row>
    <row r="21" spans="1:16">
      <c r="A21" s="3" t="s">
        <v>113</v>
      </c>
      <c r="B21">
        <f>2570+2696+225+348+(0+0+0+5)</f>
        <v>5844</v>
      </c>
      <c r="C21">
        <f>2570+2696+225+381+(0+0+0+0)</f>
        <v>5872</v>
      </c>
      <c r="H21">
        <f>748+2566+2333+611+439+(0-4+0+0+0)</f>
        <v>6693</v>
      </c>
    </row>
    <row r="22" spans="1:16">
      <c r="A22" s="3" t="s">
        <v>114</v>
      </c>
      <c r="B22">
        <f>2570+2696+451+160+(0+0+0+0)</f>
        <v>5877</v>
      </c>
      <c r="C22">
        <f>2570+2696+451+181+(0+0+0+5)</f>
        <v>5903</v>
      </c>
    </row>
    <row r="28" spans="1:16" ht="33">
      <c r="A28" s="47" t="s">
        <v>162</v>
      </c>
      <c r="B28" s="48"/>
      <c r="C28" s="49"/>
      <c r="D28" s="49"/>
      <c r="E28" s="49"/>
      <c r="F28" s="49"/>
      <c r="G28" s="49"/>
      <c r="H28" s="78">
        <v>42828</v>
      </c>
      <c r="I28" s="78"/>
      <c r="J28" s="49"/>
      <c r="K28" s="49"/>
      <c r="L28" s="49"/>
      <c r="M28" s="49"/>
      <c r="N28" s="49"/>
      <c r="O28" s="49"/>
      <c r="P28" s="49"/>
    </row>
    <row r="29" spans="1:16" ht="17.25">
      <c r="A29" s="50" t="s">
        <v>92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</row>
    <row r="30" spans="1:16" ht="18" thickBot="1">
      <c r="A30" s="50"/>
      <c r="B30" s="51"/>
      <c r="C30" s="51"/>
      <c r="D30" s="51"/>
      <c r="E30" s="51"/>
      <c r="F30" s="51"/>
      <c r="G30" s="52"/>
      <c r="H30" s="51"/>
      <c r="I30" s="51"/>
      <c r="J30" s="51"/>
      <c r="K30" s="51"/>
      <c r="L30" s="51"/>
      <c r="M30" s="51"/>
      <c r="N30" s="51"/>
      <c r="O30" s="51"/>
      <c r="P30" s="51"/>
    </row>
    <row r="31" spans="1:16" ht="18.75" thickBot="1">
      <c r="A31" s="53" t="s">
        <v>179</v>
      </c>
      <c r="B31" s="54"/>
      <c r="C31" s="64"/>
      <c r="D31" s="79"/>
      <c r="E31" s="80"/>
      <c r="F31" s="80"/>
      <c r="G31" s="81"/>
      <c r="H31" s="55"/>
      <c r="I31" s="54"/>
      <c r="J31" s="56" t="s">
        <v>180</v>
      </c>
      <c r="K31" s="79"/>
      <c r="L31" s="80"/>
      <c r="M31" s="80"/>
      <c r="N31" s="81"/>
      <c r="O31" s="54"/>
      <c r="P31" s="54"/>
    </row>
    <row r="32" spans="1:16" ht="18.75" thickBot="1">
      <c r="A32" s="57" t="s">
        <v>181</v>
      </c>
      <c r="B32" s="54"/>
      <c r="C32" s="55"/>
      <c r="D32" s="79"/>
      <c r="E32" s="81"/>
      <c r="F32" s="65"/>
      <c r="G32" s="55"/>
      <c r="H32" s="55"/>
      <c r="I32" s="54"/>
      <c r="J32" s="56" t="s">
        <v>182</v>
      </c>
      <c r="K32" s="79"/>
      <c r="L32" s="80"/>
      <c r="M32" s="80"/>
      <c r="N32" s="81"/>
      <c r="O32" s="54"/>
      <c r="P32" s="54"/>
    </row>
    <row r="33" spans="1:16" ht="16.5">
      <c r="A33" s="51"/>
      <c r="B33" s="51"/>
      <c r="C33" s="66"/>
      <c r="D33" s="66"/>
      <c r="E33" s="66"/>
      <c r="F33" s="66"/>
      <c r="G33" s="51"/>
      <c r="H33" s="51"/>
      <c r="I33" s="51"/>
      <c r="J33" s="51"/>
      <c r="K33" s="51"/>
      <c r="L33" s="51"/>
      <c r="M33" s="51"/>
      <c r="N33" s="51"/>
      <c r="O33" s="51"/>
      <c r="P33" s="51"/>
    </row>
    <row r="34" spans="1:16" ht="16.5">
      <c r="A34" s="58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</row>
    <row r="35" spans="1:16" ht="19.5">
      <c r="A35" s="59"/>
      <c r="B35" s="82" t="s">
        <v>177</v>
      </c>
      <c r="C35" s="82"/>
      <c r="D35" s="82"/>
      <c r="E35" s="82" t="s">
        <v>178</v>
      </c>
      <c r="F35" s="82"/>
      <c r="G35" s="82"/>
      <c r="H35" s="82" t="s">
        <v>95</v>
      </c>
      <c r="I35" s="82"/>
      <c r="J35" s="82"/>
      <c r="K35" s="82" t="s">
        <v>96</v>
      </c>
      <c r="L35" s="82"/>
      <c r="M35" s="82"/>
      <c r="N35" s="82" t="s">
        <v>100</v>
      </c>
      <c r="O35" s="82"/>
      <c r="P35" s="82"/>
    </row>
    <row r="36" spans="1:16" ht="19.5">
      <c r="A36" s="59"/>
      <c r="B36" s="59"/>
      <c r="C36" s="60" t="s">
        <v>183</v>
      </c>
      <c r="D36" s="60" t="s">
        <v>184</v>
      </c>
      <c r="E36" s="59"/>
      <c r="F36" s="60" t="s">
        <v>183</v>
      </c>
      <c r="G36" s="60" t="s">
        <v>184</v>
      </c>
      <c r="H36" s="59"/>
      <c r="I36" s="60" t="s">
        <v>183</v>
      </c>
      <c r="J36" s="60" t="s">
        <v>184</v>
      </c>
      <c r="K36" s="59"/>
      <c r="L36" s="60" t="s">
        <v>183</v>
      </c>
      <c r="M36" s="60" t="s">
        <v>184</v>
      </c>
      <c r="N36" s="59"/>
      <c r="O36" s="60" t="s">
        <v>183</v>
      </c>
      <c r="P36" s="60" t="s">
        <v>184</v>
      </c>
    </row>
    <row r="37" spans="1:16" ht="26.25" customHeight="1">
      <c r="A37" s="61">
        <v>1</v>
      </c>
      <c r="B37" s="62">
        <v>6633</v>
      </c>
      <c r="C37" s="62"/>
      <c r="D37" s="62"/>
      <c r="E37" s="62">
        <v>6608</v>
      </c>
      <c r="F37" s="62"/>
      <c r="G37" s="62"/>
      <c r="H37" s="62">
        <v>6571</v>
      </c>
      <c r="I37" s="62"/>
      <c r="J37" s="62"/>
      <c r="K37" s="62">
        <v>6643</v>
      </c>
      <c r="L37" s="62"/>
      <c r="M37" s="62"/>
      <c r="N37" s="62">
        <v>7549</v>
      </c>
      <c r="O37" s="63"/>
      <c r="P37" s="63"/>
    </row>
    <row r="38" spans="1:16" ht="26.25" customHeight="1">
      <c r="A38" s="61">
        <v>2</v>
      </c>
      <c r="B38" s="62">
        <v>6524</v>
      </c>
      <c r="C38" s="62"/>
      <c r="D38" s="62"/>
      <c r="E38" s="62">
        <v>6497</v>
      </c>
      <c r="F38" s="62"/>
      <c r="G38" s="62"/>
      <c r="H38" s="62">
        <v>6482</v>
      </c>
      <c r="I38" s="62"/>
      <c r="J38" s="62"/>
      <c r="K38" s="62">
        <v>6560</v>
      </c>
      <c r="L38" s="62"/>
      <c r="M38" s="62"/>
      <c r="N38" s="62">
        <v>7224</v>
      </c>
      <c r="O38" s="63"/>
      <c r="P38" s="63"/>
    </row>
    <row r="39" spans="1:16" ht="26.25" customHeight="1">
      <c r="A39" s="61">
        <v>3</v>
      </c>
      <c r="B39" s="62">
        <v>6495</v>
      </c>
      <c r="C39" s="62"/>
      <c r="D39" s="62"/>
      <c r="E39" s="62">
        <v>6469</v>
      </c>
      <c r="F39" s="62"/>
      <c r="G39" s="62"/>
      <c r="H39" s="62">
        <v>6452</v>
      </c>
      <c r="I39" s="62"/>
      <c r="J39" s="62"/>
      <c r="K39" s="62">
        <v>6525</v>
      </c>
      <c r="L39" s="62"/>
      <c r="M39" s="62"/>
      <c r="N39" s="62">
        <v>7031</v>
      </c>
      <c r="O39" s="63"/>
      <c r="P39" s="63"/>
    </row>
    <row r="40" spans="1:16" ht="26.25" customHeight="1">
      <c r="A40" s="61">
        <v>4</v>
      </c>
      <c r="B40" s="62">
        <v>6546</v>
      </c>
      <c r="C40" s="62"/>
      <c r="D40" s="62"/>
      <c r="E40" s="62">
        <v>6523</v>
      </c>
      <c r="F40" s="62"/>
      <c r="G40" s="62"/>
      <c r="H40" s="62">
        <v>6481</v>
      </c>
      <c r="I40" s="62"/>
      <c r="J40" s="62"/>
      <c r="K40" s="62">
        <v>6549</v>
      </c>
      <c r="L40" s="62"/>
      <c r="M40" s="62"/>
      <c r="N40" s="62">
        <v>6964</v>
      </c>
      <c r="O40" s="63"/>
      <c r="P40" s="63"/>
    </row>
    <row r="41" spans="1:16" ht="26.25" customHeight="1">
      <c r="A41" s="61">
        <v>5</v>
      </c>
      <c r="B41" s="62">
        <v>6442</v>
      </c>
      <c r="C41" s="62"/>
      <c r="D41" s="62"/>
      <c r="E41" s="62">
        <v>6420</v>
      </c>
      <c r="F41" s="62"/>
      <c r="G41" s="62"/>
      <c r="H41" s="62">
        <v>6404</v>
      </c>
      <c r="I41" s="62"/>
      <c r="J41" s="62"/>
      <c r="K41" s="62">
        <v>6470</v>
      </c>
      <c r="L41" s="62"/>
      <c r="M41" s="62"/>
      <c r="N41" s="62">
        <v>6807</v>
      </c>
      <c r="O41" s="63"/>
      <c r="P41" s="63"/>
    </row>
    <row r="42" spans="1:16" ht="26.25" customHeight="1">
      <c r="A42" s="61">
        <v>6</v>
      </c>
      <c r="B42" s="62">
        <v>6306</v>
      </c>
      <c r="C42" s="62"/>
      <c r="D42" s="62"/>
      <c r="E42" s="62">
        <v>6284</v>
      </c>
      <c r="F42" s="62"/>
      <c r="G42" s="62"/>
      <c r="H42" s="62">
        <v>6281</v>
      </c>
      <c r="I42" s="62"/>
      <c r="J42" s="62"/>
      <c r="K42" s="62">
        <v>6345</v>
      </c>
      <c r="L42" s="62"/>
      <c r="M42" s="62"/>
      <c r="N42" s="62">
        <v>6615</v>
      </c>
      <c r="O42" s="63"/>
      <c r="P42" s="63"/>
    </row>
    <row r="43" spans="1:16" ht="26.25" customHeight="1">
      <c r="A43" s="61">
        <v>7</v>
      </c>
      <c r="B43" s="62">
        <v>6245</v>
      </c>
      <c r="C43" s="62"/>
      <c r="D43" s="62"/>
      <c r="E43" s="62">
        <v>6226</v>
      </c>
      <c r="F43" s="62"/>
      <c r="G43" s="62"/>
      <c r="H43" s="62">
        <v>6219</v>
      </c>
      <c r="I43" s="62"/>
      <c r="J43" s="62"/>
      <c r="K43" s="62">
        <v>6276</v>
      </c>
      <c r="L43" s="62"/>
      <c r="M43" s="62"/>
      <c r="N43" s="62">
        <v>6567</v>
      </c>
      <c r="O43" s="63"/>
      <c r="P43" s="63"/>
    </row>
    <row r="44" spans="1:16" ht="26.25" customHeight="1">
      <c r="A44" s="61">
        <v>8</v>
      </c>
      <c r="B44" s="62">
        <v>6274</v>
      </c>
      <c r="C44" s="62"/>
      <c r="D44" s="62"/>
      <c r="E44" s="62">
        <v>6258</v>
      </c>
      <c r="F44" s="62"/>
      <c r="G44" s="62"/>
      <c r="H44" s="62">
        <v>6234</v>
      </c>
      <c r="I44" s="62"/>
      <c r="J44" s="62"/>
      <c r="K44" s="62">
        <v>6275</v>
      </c>
      <c r="L44" s="62"/>
      <c r="M44" s="62"/>
      <c r="N44" s="62">
        <v>6677</v>
      </c>
      <c r="O44" s="63"/>
      <c r="P44" s="63"/>
    </row>
    <row r="45" spans="1:16" ht="26.25" customHeight="1">
      <c r="A45" s="61">
        <v>9</v>
      </c>
      <c r="B45" s="62">
        <v>6043</v>
      </c>
      <c r="C45" s="62"/>
      <c r="D45" s="62"/>
      <c r="E45" s="62">
        <v>0</v>
      </c>
      <c r="F45" s="62"/>
      <c r="G45" s="62"/>
      <c r="H45" s="62">
        <v>6049</v>
      </c>
      <c r="I45" s="62"/>
      <c r="J45" s="62"/>
      <c r="K45" s="62"/>
      <c r="L45" s="62"/>
      <c r="M45" s="62"/>
      <c r="N45" s="62">
        <v>6505</v>
      </c>
      <c r="O45" s="63"/>
      <c r="P45" s="63"/>
    </row>
    <row r="46" spans="1:16" ht="26.25" customHeight="1">
      <c r="A46" s="61">
        <v>10</v>
      </c>
      <c r="B46" s="62">
        <v>5932</v>
      </c>
      <c r="C46" s="62"/>
      <c r="D46" s="62"/>
      <c r="E46" s="62"/>
      <c r="F46" s="62"/>
      <c r="G46" s="62"/>
      <c r="H46" s="62">
        <v>5960</v>
      </c>
      <c r="I46" s="62"/>
      <c r="J46" s="62"/>
      <c r="K46" s="62"/>
      <c r="L46" s="62"/>
      <c r="M46" s="62"/>
      <c r="N46" s="62">
        <v>6515</v>
      </c>
      <c r="O46" s="63"/>
      <c r="P46" s="63"/>
    </row>
    <row r="47" spans="1:16" ht="26.25" customHeight="1">
      <c r="A47" s="61">
        <v>11</v>
      </c>
      <c r="B47" s="62">
        <v>5879</v>
      </c>
      <c r="C47" s="62"/>
      <c r="D47" s="62"/>
      <c r="E47" s="62"/>
      <c r="F47" s="62"/>
      <c r="G47" s="62"/>
      <c r="H47" s="62">
        <v>5924</v>
      </c>
      <c r="I47" s="62"/>
      <c r="J47" s="62"/>
      <c r="K47" s="62"/>
      <c r="L47" s="62"/>
      <c r="M47" s="62"/>
      <c r="N47" s="62">
        <v>6516</v>
      </c>
      <c r="O47" s="63"/>
      <c r="P47" s="63"/>
    </row>
    <row r="48" spans="1:16" ht="26.25" customHeight="1">
      <c r="A48" s="61">
        <v>12</v>
      </c>
      <c r="B48" s="62">
        <v>5854</v>
      </c>
      <c r="C48" s="62"/>
      <c r="D48" s="62"/>
      <c r="E48" s="62"/>
      <c r="F48" s="62"/>
      <c r="G48" s="62"/>
      <c r="H48" s="62">
        <v>5861</v>
      </c>
      <c r="I48" s="62"/>
      <c r="J48" s="62"/>
      <c r="K48" s="62"/>
      <c r="L48" s="62"/>
      <c r="M48" s="62"/>
      <c r="N48" s="62">
        <v>6712</v>
      </c>
      <c r="O48" s="63"/>
      <c r="P48" s="63"/>
    </row>
    <row r="49" spans="1:16" ht="26.25" customHeight="1">
      <c r="A49" s="61">
        <v>13</v>
      </c>
      <c r="B49" s="62">
        <v>5837</v>
      </c>
      <c r="C49" s="62"/>
      <c r="D49" s="62"/>
      <c r="E49" s="62"/>
      <c r="F49" s="62"/>
      <c r="G49" s="62"/>
      <c r="H49" s="62">
        <v>5870</v>
      </c>
      <c r="I49" s="62"/>
      <c r="J49" s="62"/>
      <c r="K49" s="62"/>
      <c r="L49" s="62"/>
      <c r="M49" s="62"/>
      <c r="N49" s="62"/>
      <c r="O49" s="63"/>
      <c r="P49" s="63"/>
    </row>
    <row r="50" spans="1:16" ht="26.25" customHeight="1">
      <c r="A50" s="61">
        <v>14</v>
      </c>
      <c r="B50" s="62">
        <v>5875</v>
      </c>
      <c r="C50" s="62"/>
      <c r="D50" s="62"/>
      <c r="E50" s="62"/>
      <c r="F50" s="62"/>
      <c r="G50" s="62"/>
      <c r="H50" s="62">
        <v>5896</v>
      </c>
      <c r="I50" s="62"/>
      <c r="J50" s="62"/>
      <c r="K50" s="62"/>
      <c r="L50" s="62"/>
      <c r="M50" s="62"/>
      <c r="N50" s="62"/>
      <c r="O50" s="63"/>
      <c r="P50" s="63"/>
    </row>
  </sheetData>
  <mergeCells count="10">
    <mergeCell ref="H28:I28"/>
    <mergeCell ref="K31:N31"/>
    <mergeCell ref="K32:N32"/>
    <mergeCell ref="D31:G31"/>
    <mergeCell ref="D32:E32"/>
    <mergeCell ref="N35:P35"/>
    <mergeCell ref="B35:D35"/>
    <mergeCell ref="E35:G35"/>
    <mergeCell ref="H35:J35"/>
    <mergeCell ref="K35:M35"/>
  </mergeCells>
  <phoneticPr fontId="0" type="noConversion"/>
  <pageMargins left="0.13" right="0.2" top="0.53" bottom="0.35" header="0.3" footer="0.3"/>
  <pageSetup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O75"/>
  <sheetViews>
    <sheetView topLeftCell="A40" workbookViewId="0"/>
  </sheetViews>
  <sheetFormatPr defaultRowHeight="15"/>
  <cols>
    <col min="2" max="3" width="19.5703125" customWidth="1"/>
  </cols>
  <sheetData>
    <row r="1" spans="1:15" ht="20.25">
      <c r="A1" s="1" t="s">
        <v>115</v>
      </c>
    </row>
    <row r="2" spans="1:15">
      <c r="A2" s="2" t="s">
        <v>1</v>
      </c>
      <c r="B2" s="2" t="s">
        <v>2</v>
      </c>
    </row>
    <row r="3" spans="1:15">
      <c r="A3" s="2" t="s">
        <v>3</v>
      </c>
      <c r="B3" s="2" t="s">
        <v>2</v>
      </c>
    </row>
    <row r="5" spans="1:15" ht="20.25">
      <c r="A5" s="1" t="s">
        <v>116</v>
      </c>
    </row>
    <row r="7" spans="1:15" ht="20.25">
      <c r="A7" s="1" t="s">
        <v>117</v>
      </c>
    </row>
    <row r="8" spans="1:15">
      <c r="B8" s="3" t="s">
        <v>94</v>
      </c>
      <c r="D8" s="3" t="s">
        <v>95</v>
      </c>
      <c r="F8" s="3" t="s">
        <v>96</v>
      </c>
      <c r="H8" s="3" t="s">
        <v>97</v>
      </c>
      <c r="J8" s="3" t="s">
        <v>98</v>
      </c>
      <c r="L8" s="3" t="s">
        <v>99</v>
      </c>
      <c r="N8" s="3" t="s">
        <v>100</v>
      </c>
    </row>
    <row r="9" spans="1:15">
      <c r="B9" s="3" t="s">
        <v>118</v>
      </c>
      <c r="C9" s="3" t="s">
        <v>119</v>
      </c>
      <c r="D9" s="3" t="s">
        <v>118</v>
      </c>
      <c r="E9" s="3" t="s">
        <v>119</v>
      </c>
      <c r="F9" s="3" t="s">
        <v>118</v>
      </c>
      <c r="G9" s="3" t="s">
        <v>119</v>
      </c>
      <c r="H9" s="3" t="s">
        <v>118</v>
      </c>
      <c r="I9" s="3" t="s">
        <v>119</v>
      </c>
      <c r="J9" s="3" t="s">
        <v>118</v>
      </c>
      <c r="K9" s="3" t="s">
        <v>119</v>
      </c>
      <c r="L9" s="3" t="s">
        <v>118</v>
      </c>
      <c r="M9" s="3" t="s">
        <v>119</v>
      </c>
      <c r="N9" s="3" t="s">
        <v>118</v>
      </c>
      <c r="O9" s="3" t="s">
        <v>119</v>
      </c>
    </row>
    <row r="10" spans="1:15">
      <c r="A10" s="3" t="s">
        <v>101</v>
      </c>
      <c r="B10">
        <v>197</v>
      </c>
      <c r="D10">
        <v>172</v>
      </c>
      <c r="F10">
        <v>603</v>
      </c>
      <c r="H10">
        <v>687</v>
      </c>
      <c r="I10">
        <v>-12</v>
      </c>
      <c r="N10">
        <v>640</v>
      </c>
      <c r="O10">
        <v>-10</v>
      </c>
    </row>
    <row r="11" spans="1:15">
      <c r="A11" s="3" t="s">
        <v>102</v>
      </c>
      <c r="B11">
        <v>186</v>
      </c>
      <c r="D11">
        <v>160</v>
      </c>
      <c r="F11">
        <v>513</v>
      </c>
      <c r="H11">
        <v>603</v>
      </c>
      <c r="I11">
        <v>-12</v>
      </c>
      <c r="N11">
        <v>305</v>
      </c>
    </row>
    <row r="12" spans="1:15">
      <c r="A12" s="3" t="s">
        <v>103</v>
      </c>
      <c r="B12">
        <v>185</v>
      </c>
      <c r="D12">
        <v>160</v>
      </c>
      <c r="F12">
        <v>438</v>
      </c>
      <c r="H12">
        <v>523</v>
      </c>
      <c r="I12">
        <v>-12</v>
      </c>
      <c r="N12">
        <v>404</v>
      </c>
    </row>
    <row r="13" spans="1:15">
      <c r="A13" s="3" t="s">
        <v>104</v>
      </c>
      <c r="B13">
        <v>183</v>
      </c>
      <c r="D13">
        <v>160</v>
      </c>
      <c r="F13">
        <v>423</v>
      </c>
      <c r="H13">
        <v>503</v>
      </c>
      <c r="I13">
        <v>-12</v>
      </c>
      <c r="N13">
        <v>337</v>
      </c>
    </row>
    <row r="14" spans="1:15">
      <c r="A14" s="3" t="s">
        <v>105</v>
      </c>
      <c r="B14">
        <v>189</v>
      </c>
      <c r="D14">
        <v>167</v>
      </c>
      <c r="F14">
        <v>319</v>
      </c>
      <c r="H14">
        <v>397</v>
      </c>
      <c r="I14">
        <v>-12</v>
      </c>
      <c r="N14">
        <v>475</v>
      </c>
      <c r="O14">
        <v>-10</v>
      </c>
    </row>
    <row r="15" spans="1:15">
      <c r="A15" s="3" t="s">
        <v>106</v>
      </c>
      <c r="B15">
        <v>181</v>
      </c>
      <c r="D15">
        <v>159</v>
      </c>
      <c r="F15">
        <v>286</v>
      </c>
      <c r="H15">
        <v>362</v>
      </c>
      <c r="I15">
        <v>-12</v>
      </c>
      <c r="N15">
        <v>263</v>
      </c>
      <c r="O15">
        <v>10</v>
      </c>
    </row>
    <row r="16" spans="1:15">
      <c r="A16" s="3" t="s">
        <v>107</v>
      </c>
      <c r="B16">
        <v>178</v>
      </c>
      <c r="D16">
        <v>159</v>
      </c>
      <c r="F16">
        <v>282</v>
      </c>
      <c r="H16">
        <v>351</v>
      </c>
      <c r="I16">
        <v>-12</v>
      </c>
      <c r="N16">
        <v>271</v>
      </c>
    </row>
    <row r="17" spans="1:15">
      <c r="A17" s="3" t="s">
        <v>108</v>
      </c>
      <c r="B17">
        <v>174</v>
      </c>
      <c r="D17">
        <v>158</v>
      </c>
      <c r="F17">
        <v>297</v>
      </c>
      <c r="H17">
        <v>350</v>
      </c>
      <c r="I17">
        <v>-12</v>
      </c>
      <c r="N17">
        <v>386</v>
      </c>
      <c r="O17">
        <v>-5</v>
      </c>
    </row>
    <row r="18" spans="1:15">
      <c r="A18" s="3" t="s">
        <v>109</v>
      </c>
      <c r="B18">
        <v>1187</v>
      </c>
      <c r="D18">
        <v>1178</v>
      </c>
      <c r="N18">
        <v>286</v>
      </c>
      <c r="O18">
        <v>-20</v>
      </c>
    </row>
    <row r="19" spans="1:15">
      <c r="A19" s="3" t="s">
        <v>110</v>
      </c>
      <c r="B19">
        <v>1076</v>
      </c>
      <c r="D19">
        <v>1089</v>
      </c>
      <c r="N19">
        <v>296</v>
      </c>
      <c r="O19">
        <v>-20</v>
      </c>
    </row>
    <row r="20" spans="1:15">
      <c r="A20" s="3" t="s">
        <v>111</v>
      </c>
      <c r="B20">
        <v>1622</v>
      </c>
      <c r="D20">
        <v>1658</v>
      </c>
    </row>
    <row r="21" spans="1:15">
      <c r="A21" s="3" t="s">
        <v>112</v>
      </c>
      <c r="B21">
        <v>365</v>
      </c>
      <c r="D21">
        <v>372</v>
      </c>
      <c r="N21">
        <v>307</v>
      </c>
      <c r="O21">
        <v>-64</v>
      </c>
    </row>
    <row r="22" spans="1:15">
      <c r="A22" s="3" t="s">
        <v>113</v>
      </c>
      <c r="B22">
        <v>348</v>
      </c>
      <c r="D22">
        <v>381</v>
      </c>
      <c r="N22">
        <v>519</v>
      </c>
      <c r="O22">
        <v>-80</v>
      </c>
    </row>
    <row r="23" spans="1:15">
      <c r="A23" s="3" t="s">
        <v>114</v>
      </c>
      <c r="B23">
        <v>160</v>
      </c>
      <c r="D23">
        <v>181</v>
      </c>
    </row>
    <row r="25" spans="1:15" ht="20.25">
      <c r="A25" s="1" t="s">
        <v>120</v>
      </c>
    </row>
    <row r="26" spans="1:15">
      <c r="A26" s="3" t="s">
        <v>121</v>
      </c>
      <c r="B26" s="3" t="s">
        <v>118</v>
      </c>
      <c r="C26" s="3" t="s">
        <v>119</v>
      </c>
    </row>
    <row r="27" spans="1:15">
      <c r="A27" t="s">
        <v>122</v>
      </c>
      <c r="B27">
        <v>735</v>
      </c>
    </row>
    <row r="28" spans="1:15">
      <c r="A28" t="s">
        <v>123</v>
      </c>
      <c r="B28">
        <v>735</v>
      </c>
    </row>
    <row r="29" spans="1:15">
      <c r="A29" t="s">
        <v>13</v>
      </c>
      <c r="B29">
        <v>648</v>
      </c>
    </row>
    <row r="30" spans="1:15">
      <c r="A30" t="s">
        <v>8</v>
      </c>
      <c r="B30">
        <v>500</v>
      </c>
    </row>
    <row r="31" spans="1:15">
      <c r="A31" t="s">
        <v>14</v>
      </c>
      <c r="B31">
        <v>1704</v>
      </c>
    </row>
    <row r="32" spans="1:15">
      <c r="A32" t="s">
        <v>43</v>
      </c>
      <c r="B32">
        <v>2696</v>
      </c>
    </row>
    <row r="33" spans="1:3">
      <c r="A33" t="s">
        <v>11</v>
      </c>
      <c r="B33">
        <v>1199</v>
      </c>
    </row>
    <row r="34" spans="1:3">
      <c r="A34" t="s">
        <v>66</v>
      </c>
      <c r="B34">
        <v>1100</v>
      </c>
    </row>
    <row r="35" spans="1:3">
      <c r="A35" t="s">
        <v>65</v>
      </c>
      <c r="B35">
        <v>1072</v>
      </c>
    </row>
    <row r="36" spans="1:3">
      <c r="A36" t="s">
        <v>10</v>
      </c>
      <c r="B36">
        <v>1126</v>
      </c>
    </row>
    <row r="37" spans="1:3">
      <c r="A37" t="s">
        <v>64</v>
      </c>
      <c r="B37">
        <v>956</v>
      </c>
    </row>
    <row r="38" spans="1:3">
      <c r="A38" t="s">
        <v>61</v>
      </c>
      <c r="B38">
        <v>827</v>
      </c>
    </row>
    <row r="39" spans="1:3">
      <c r="A39" t="s">
        <v>51</v>
      </c>
      <c r="B39">
        <v>915</v>
      </c>
    </row>
    <row r="40" spans="1:3">
      <c r="A40" t="s">
        <v>63</v>
      </c>
      <c r="B40">
        <v>949</v>
      </c>
    </row>
    <row r="41" spans="1:3">
      <c r="A41" t="s">
        <v>9</v>
      </c>
      <c r="B41">
        <v>604</v>
      </c>
    </row>
    <row r="42" spans="1:3">
      <c r="A42" t="s">
        <v>69</v>
      </c>
      <c r="B42">
        <v>225</v>
      </c>
    </row>
    <row r="43" spans="1:3">
      <c r="A43" t="s">
        <v>82</v>
      </c>
      <c r="B43">
        <v>451</v>
      </c>
    </row>
    <row r="44" spans="1:3">
      <c r="A44" t="s">
        <v>44</v>
      </c>
      <c r="B44">
        <v>3742</v>
      </c>
      <c r="C44">
        <v>-7</v>
      </c>
    </row>
    <row r="45" spans="1:3">
      <c r="A45" t="s">
        <v>34</v>
      </c>
      <c r="B45">
        <v>604</v>
      </c>
    </row>
    <row r="46" spans="1:3">
      <c r="A46" t="s">
        <v>124</v>
      </c>
      <c r="B46">
        <v>1005</v>
      </c>
    </row>
    <row r="47" spans="1:3">
      <c r="A47" t="s">
        <v>125</v>
      </c>
      <c r="B47">
        <v>1005</v>
      </c>
    </row>
    <row r="48" spans="1:3">
      <c r="A48" t="s">
        <v>62</v>
      </c>
      <c r="B48">
        <v>830</v>
      </c>
    </row>
    <row r="49" spans="1:3">
      <c r="A49" t="s">
        <v>49</v>
      </c>
      <c r="B49">
        <v>681</v>
      </c>
    </row>
    <row r="50" spans="1:3">
      <c r="A50" t="s">
        <v>50</v>
      </c>
      <c r="B50">
        <v>857</v>
      </c>
    </row>
    <row r="51" spans="1:3">
      <c r="A51" t="s">
        <v>36</v>
      </c>
      <c r="B51">
        <v>857</v>
      </c>
    </row>
    <row r="52" spans="1:3">
      <c r="A52" t="s">
        <v>37</v>
      </c>
      <c r="B52">
        <v>902</v>
      </c>
    </row>
    <row r="53" spans="1:3">
      <c r="A53" t="s">
        <v>52</v>
      </c>
      <c r="B53">
        <v>947</v>
      </c>
    </row>
    <row r="54" spans="1:3">
      <c r="A54" t="s">
        <v>126</v>
      </c>
      <c r="B54">
        <v>811</v>
      </c>
    </row>
    <row r="55" spans="1:3">
      <c r="A55" t="s">
        <v>35</v>
      </c>
      <c r="B55">
        <v>721</v>
      </c>
    </row>
    <row r="56" spans="1:3">
      <c r="A56" t="s">
        <v>127</v>
      </c>
      <c r="B56">
        <v>811</v>
      </c>
    </row>
    <row r="57" spans="1:3">
      <c r="A57" t="s">
        <v>128</v>
      </c>
      <c r="B57">
        <v>811</v>
      </c>
    </row>
    <row r="58" spans="1:3">
      <c r="A58" t="s">
        <v>12</v>
      </c>
      <c r="B58">
        <v>2326</v>
      </c>
      <c r="C58">
        <v>240</v>
      </c>
    </row>
    <row r="59" spans="1:3">
      <c r="A59" t="s">
        <v>90</v>
      </c>
      <c r="B59">
        <v>1190</v>
      </c>
      <c r="C59">
        <v>49</v>
      </c>
    </row>
    <row r="60" spans="1:3">
      <c r="A60" t="s">
        <v>42</v>
      </c>
      <c r="B60">
        <v>2344</v>
      </c>
      <c r="C60">
        <v>33</v>
      </c>
    </row>
    <row r="61" spans="1:3">
      <c r="A61" t="s">
        <v>89</v>
      </c>
      <c r="B61">
        <v>947</v>
      </c>
    </row>
    <row r="62" spans="1:3">
      <c r="A62" t="s">
        <v>88</v>
      </c>
      <c r="B62">
        <v>866</v>
      </c>
    </row>
    <row r="63" spans="1:3">
      <c r="A63" t="s">
        <v>40</v>
      </c>
      <c r="B63">
        <v>2173</v>
      </c>
    </row>
    <row r="64" spans="1:3">
      <c r="A64" t="s">
        <v>87</v>
      </c>
      <c r="B64">
        <v>820</v>
      </c>
    </row>
    <row r="65" spans="1:15">
      <c r="A65" t="s">
        <v>85</v>
      </c>
      <c r="B65">
        <v>577</v>
      </c>
    </row>
    <row r="66" spans="1:15">
      <c r="A66" t="s">
        <v>41</v>
      </c>
      <c r="B66">
        <v>2407</v>
      </c>
      <c r="C66">
        <v>-74</v>
      </c>
    </row>
    <row r="67" spans="1:15">
      <c r="A67" t="s">
        <v>86</v>
      </c>
      <c r="B67">
        <v>640</v>
      </c>
      <c r="C67">
        <v>-29</v>
      </c>
    </row>
    <row r="70" spans="1:15" ht="20.25">
      <c r="A70" s="1" t="s">
        <v>129</v>
      </c>
    </row>
    <row r="71" spans="1:15">
      <c r="B71" s="3" t="s">
        <v>94</v>
      </c>
      <c r="D71" s="3" t="s">
        <v>95</v>
      </c>
      <c r="F71" s="3" t="s">
        <v>96</v>
      </c>
      <c r="H71" s="3" t="s">
        <v>97</v>
      </c>
      <c r="J71" s="3" t="s">
        <v>98</v>
      </c>
      <c r="L71" s="3" t="s">
        <v>99</v>
      </c>
      <c r="N71" s="3" t="s">
        <v>100</v>
      </c>
    </row>
    <row r="72" spans="1:15">
      <c r="B72" s="3" t="s">
        <v>118</v>
      </c>
      <c r="C72" s="3" t="s">
        <v>119</v>
      </c>
      <c r="D72" s="3" t="s">
        <v>118</v>
      </c>
      <c r="E72" s="3" t="s">
        <v>119</v>
      </c>
      <c r="F72" s="3" t="s">
        <v>118</v>
      </c>
      <c r="G72" s="3" t="s">
        <v>119</v>
      </c>
      <c r="H72" s="3" t="s">
        <v>118</v>
      </c>
      <c r="I72" s="3" t="s">
        <v>119</v>
      </c>
      <c r="J72" s="3" t="s">
        <v>118</v>
      </c>
      <c r="K72" s="3" t="s">
        <v>119</v>
      </c>
      <c r="L72" s="3" t="s">
        <v>118</v>
      </c>
      <c r="M72" s="3" t="s">
        <v>119</v>
      </c>
      <c r="N72" s="3" t="s">
        <v>118</v>
      </c>
      <c r="O72" s="3" t="s">
        <v>119</v>
      </c>
    </row>
    <row r="73" spans="1:15">
      <c r="A73" s="3" t="s">
        <v>101</v>
      </c>
      <c r="B73">
        <v>4526</v>
      </c>
      <c r="D73">
        <v>541</v>
      </c>
      <c r="F73">
        <v>4166</v>
      </c>
      <c r="G73">
        <v>-43</v>
      </c>
      <c r="N73">
        <v>748</v>
      </c>
    </row>
    <row r="74" spans="1:15">
      <c r="A74" s="3" t="s">
        <v>102</v>
      </c>
      <c r="B74">
        <v>4670</v>
      </c>
      <c r="F74">
        <v>4490</v>
      </c>
      <c r="G74">
        <v>-35</v>
      </c>
    </row>
    <row r="75" spans="1:15">
      <c r="A75" s="3" t="s">
        <v>103</v>
      </c>
      <c r="B75">
        <v>2570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Line details</vt:lpstr>
      <vt:lpstr>Sheet1</vt:lpstr>
      <vt:lpstr>Line check</vt:lpstr>
      <vt:lpstr>Line mods</vt:lpstr>
      <vt:lpstr>'Line details'!Print_Area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products5</dc:creator>
  <cp:lastModifiedBy>production2</cp:lastModifiedBy>
  <cp:lastPrinted>2018-11-06T05:51:03Z</cp:lastPrinted>
  <dcterms:created xsi:type="dcterms:W3CDTF">2017-04-10T02:35:28Z</dcterms:created>
  <dcterms:modified xsi:type="dcterms:W3CDTF">2018-11-06T05:51:07Z</dcterms:modified>
</cp:coreProperties>
</file>